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D:\Робоча  ПАПКА\Аналіз виконання  б-ту по видатках\2021\На сайт\01.01.2022\"/>
    </mc:Choice>
  </mc:AlternateContent>
  <bookViews>
    <workbookView xWindow="0" yWindow="0" windowWidth="28800" windowHeight="11685"/>
  </bookViews>
  <sheets>
    <sheet name="2021" sheetId="22" r:id="rId1"/>
  </sheets>
  <definedNames>
    <definedName name="Print_Area" localSheetId="0">'2021'!$A$1:$W$144</definedName>
    <definedName name="Print_Titles" localSheetId="0">'2021'!$3:$5</definedName>
    <definedName name="_xlnm.Print_Titles" localSheetId="0">'2021'!$3:$5</definedName>
    <definedName name="_xlnm.Print_Area" localSheetId="0">'2021'!$A$1:$W$163</definedName>
  </definedNames>
  <calcPr calcId="152511"/>
</workbook>
</file>

<file path=xl/calcChain.xml><?xml version="1.0" encoding="utf-8"?>
<calcChain xmlns="http://schemas.openxmlformats.org/spreadsheetml/2006/main">
  <c r="W77" i="22" l="1"/>
  <c r="A57" i="22" l="1"/>
  <c r="A58" i="22"/>
  <c r="R33" i="22" l="1"/>
  <c r="F57" i="22" l="1"/>
  <c r="T57" i="22" s="1"/>
  <c r="R72" i="22"/>
  <c r="R71" i="22"/>
  <c r="R87" i="22" s="1"/>
  <c r="F70" i="22"/>
  <c r="W41" i="22"/>
  <c r="W28" i="22"/>
  <c r="V57" i="22" l="1"/>
  <c r="S57" i="22"/>
  <c r="V111" i="22"/>
  <c r="F5" i="22"/>
  <c r="G5" i="22"/>
  <c r="H5" i="22"/>
  <c r="I5" i="22"/>
  <c r="J5" i="22"/>
  <c r="K5" i="22" s="1"/>
  <c r="L5" i="22" s="1"/>
  <c r="M5" i="22" s="1"/>
  <c r="N5" i="22" s="1"/>
  <c r="O5" i="22" s="1"/>
  <c r="P5" i="22" s="1"/>
  <c r="Q5" i="22" s="1"/>
  <c r="R5" i="22" s="1"/>
  <c r="T5" i="22" s="1"/>
  <c r="U5" i="22" s="1"/>
  <c r="V5" i="22" s="1"/>
  <c r="W5" i="22" s="1"/>
  <c r="F111" i="22"/>
  <c r="S111" i="22" s="1"/>
  <c r="E119" i="22"/>
  <c r="H119" i="22"/>
  <c r="I119" i="22"/>
  <c r="J119" i="22"/>
  <c r="K119" i="22"/>
  <c r="L119" i="22"/>
  <c r="M119" i="22"/>
  <c r="N119" i="22"/>
  <c r="O119" i="22"/>
  <c r="P119" i="22"/>
  <c r="Q119" i="22"/>
  <c r="G119" i="22"/>
  <c r="A111" i="22"/>
  <c r="A112" i="22"/>
  <c r="A113" i="22"/>
  <c r="E87" i="22"/>
  <c r="E86" i="22"/>
  <c r="F77" i="22"/>
  <c r="T77" i="22" s="1"/>
  <c r="S70" i="22"/>
  <c r="S69" i="22"/>
  <c r="U9" i="22"/>
  <c r="U48" i="22"/>
  <c r="U87" i="22"/>
  <c r="V70" i="22"/>
  <c r="T111" i="22" l="1"/>
  <c r="V77" i="22"/>
  <c r="S77" i="22"/>
  <c r="Q136" i="22" l="1"/>
  <c r="Q127" i="22"/>
  <c r="Q129" i="22" s="1"/>
  <c r="Q125" i="22"/>
  <c r="Q117" i="22"/>
  <c r="Q118" i="22"/>
  <c r="Q114" i="22"/>
  <c r="Q113" i="22"/>
  <c r="Q105" i="22"/>
  <c r="Q98" i="22"/>
  <c r="Q91" i="22"/>
  <c r="Q87" i="22"/>
  <c r="Q137" i="22" s="1"/>
  <c r="Q135" i="22" s="1"/>
  <c r="Q86" i="22"/>
  <c r="Q85" i="22"/>
  <c r="Q82" i="22" s="1"/>
  <c r="Q89" i="22" s="1"/>
  <c r="Q84" i="22"/>
  <c r="Q71" i="22"/>
  <c r="Q33" i="22"/>
  <c r="Q18" i="22"/>
  <c r="Q14" i="22"/>
  <c r="Q48" i="22" s="1"/>
  <c r="Q9" i="22"/>
  <c r="Q133" i="22" l="1"/>
  <c r="Q139" i="22"/>
  <c r="Q151" i="22" s="1"/>
  <c r="Q121" i="22"/>
  <c r="Q123" i="22" s="1"/>
  <c r="Q141" i="22" s="1"/>
  <c r="Q107" i="22"/>
  <c r="F134" i="22"/>
  <c r="S134" i="22" s="1"/>
  <c r="F59" i="22" l="1"/>
  <c r="F43" i="22"/>
  <c r="S43" i="22" l="1"/>
  <c r="T59" i="22"/>
  <c r="S59" i="22"/>
  <c r="V59" i="22"/>
  <c r="P118" i="22" l="1"/>
  <c r="P115" i="22"/>
  <c r="P113" i="22" s="1"/>
  <c r="P98" i="22"/>
  <c r="P91" i="22"/>
  <c r="P105" i="22" s="1"/>
  <c r="P86" i="22"/>
  <c r="P84" i="22"/>
  <c r="P75" i="22"/>
  <c r="P73" i="22"/>
  <c r="P72" i="22"/>
  <c r="P71" i="22"/>
  <c r="P87" i="22" s="1"/>
  <c r="P33" i="22"/>
  <c r="P18" i="22"/>
  <c r="P14" i="22"/>
  <c r="P9" i="22"/>
  <c r="P137" i="22" l="1"/>
  <c r="P136" i="22"/>
  <c r="P85" i="22"/>
  <c r="P82" i="22" s="1"/>
  <c r="P48" i="22"/>
  <c r="P117" i="22"/>
  <c r="P121" i="22" s="1"/>
  <c r="P123" i="22" s="1"/>
  <c r="P107" i="22"/>
  <c r="F112" i="22"/>
  <c r="V43" i="22"/>
  <c r="P135" i="22" l="1"/>
  <c r="T112" i="22"/>
  <c r="S112" i="22"/>
  <c r="P127" i="22"/>
  <c r="P129" i="22" s="1"/>
  <c r="P125" i="22"/>
  <c r="P89" i="22"/>
  <c r="P141" i="22" s="1"/>
  <c r="P133" i="22"/>
  <c r="V112" i="22"/>
  <c r="E98" i="22"/>
  <c r="P139" i="22" l="1"/>
  <c r="F79" i="22"/>
  <c r="T79" i="22" l="1"/>
  <c r="S79" i="22"/>
  <c r="V79" i="22"/>
  <c r="E71" i="22"/>
  <c r="O113" i="22" l="1"/>
  <c r="O118" i="22"/>
  <c r="O98" i="22"/>
  <c r="O91" i="22"/>
  <c r="O105" i="22" s="1"/>
  <c r="O86" i="22"/>
  <c r="O84" i="22"/>
  <c r="O76" i="22"/>
  <c r="O71" i="22" s="1"/>
  <c r="O87" i="22" s="1"/>
  <c r="O33" i="22"/>
  <c r="O18" i="22"/>
  <c r="O14" i="22"/>
  <c r="O9" i="22"/>
  <c r="F69" i="22"/>
  <c r="U86" i="22"/>
  <c r="O136" i="22" l="1"/>
  <c r="O85" i="22"/>
  <c r="O82" i="22" s="1"/>
  <c r="O48" i="22"/>
  <c r="O125" i="22" s="1"/>
  <c r="O117" i="22"/>
  <c r="O137" i="22"/>
  <c r="O107" i="22"/>
  <c r="V69" i="22"/>
  <c r="O135" i="22" l="1"/>
  <c r="O133" i="22"/>
  <c r="O139" i="22"/>
  <c r="O151" i="22" s="1"/>
  <c r="O127" i="22"/>
  <c r="O129" i="22" s="1"/>
  <c r="O89" i="22"/>
  <c r="O121" i="22"/>
  <c r="O123" i="22" s="1"/>
  <c r="R113" i="22"/>
  <c r="R119" i="22" s="1"/>
  <c r="F119" i="22" s="1"/>
  <c r="R86" i="22"/>
  <c r="F80" i="22"/>
  <c r="S80" i="22" s="1"/>
  <c r="O141" i="22" l="1"/>
  <c r="F66" i="22"/>
  <c r="F67" i="22"/>
  <c r="F68" i="22"/>
  <c r="F49" i="22"/>
  <c r="A66" i="22"/>
  <c r="A67" i="22" s="1"/>
  <c r="A68" i="22" s="1"/>
  <c r="A69" i="22" s="1"/>
  <c r="A70" i="22" s="1"/>
  <c r="A71" i="22" s="1"/>
  <c r="A50" i="22"/>
  <c r="A51" i="22" s="1"/>
  <c r="A52" i="22" s="1"/>
  <c r="A53" i="22" s="1"/>
  <c r="A54" i="22" s="1"/>
  <c r="A55" i="22" s="1"/>
  <c r="A56" i="22" s="1"/>
  <c r="U71" i="22"/>
  <c r="V80" i="22"/>
  <c r="S49" i="22" l="1"/>
  <c r="T49" i="22"/>
  <c r="V68" i="22"/>
  <c r="S68" i="22"/>
  <c r="S66" i="22"/>
  <c r="T67" i="22"/>
  <c r="S67" i="22"/>
  <c r="A59" i="22"/>
  <c r="A60" i="22" s="1"/>
  <c r="A61" i="22" s="1"/>
  <c r="V66" i="22"/>
  <c r="V49" i="22"/>
  <c r="N118" i="22"/>
  <c r="N98" i="22"/>
  <c r="N91" i="22"/>
  <c r="N105" i="22" s="1"/>
  <c r="N86" i="22"/>
  <c r="N84" i="22"/>
  <c r="N73" i="22"/>
  <c r="N72" i="22"/>
  <c r="N71" i="22" s="1"/>
  <c r="N87" i="22" s="1"/>
  <c r="N33" i="22"/>
  <c r="N18" i="22"/>
  <c r="N14" i="22"/>
  <c r="N9" i="22"/>
  <c r="N48" i="22" l="1"/>
  <c r="N125" i="22" s="1"/>
  <c r="N117" i="22"/>
  <c r="N121" i="22" s="1"/>
  <c r="N123" i="22" s="1"/>
  <c r="N137" i="22"/>
  <c r="N85" i="22"/>
  <c r="N82" i="22" s="1"/>
  <c r="N136" i="22"/>
  <c r="N107" i="22"/>
  <c r="F54" i="22"/>
  <c r="F55" i="22"/>
  <c r="F56" i="22"/>
  <c r="M118" i="22"/>
  <c r="M98" i="22"/>
  <c r="M91" i="22"/>
  <c r="M105" i="22" s="1"/>
  <c r="M86" i="22"/>
  <c r="M84" i="22"/>
  <c r="M71" i="22"/>
  <c r="M87" i="22" s="1"/>
  <c r="M85" i="22" s="1"/>
  <c r="M33" i="22"/>
  <c r="M18" i="22"/>
  <c r="M14" i="22"/>
  <c r="M9" i="22"/>
  <c r="S56" i="22" l="1"/>
  <c r="T56" i="22"/>
  <c r="T55" i="22"/>
  <c r="S55" i="22"/>
  <c r="T54" i="22"/>
  <c r="S54" i="22"/>
  <c r="N135" i="22"/>
  <c r="N127" i="22"/>
  <c r="N129" i="22" s="1"/>
  <c r="N133" i="22"/>
  <c r="N139" i="22" s="1"/>
  <c r="N151" i="22" s="1"/>
  <c r="M136" i="22"/>
  <c r="W55" i="22"/>
  <c r="V55" i="22"/>
  <c r="V54" i="22"/>
  <c r="W54" i="22"/>
  <c r="W56" i="22"/>
  <c r="V56" i="22"/>
  <c r="M117" i="22"/>
  <c r="M121" i="22" s="1"/>
  <c r="M123" i="22" s="1"/>
  <c r="M137" i="22"/>
  <c r="N89" i="22"/>
  <c r="N141" i="22" s="1"/>
  <c r="M82" i="22"/>
  <c r="M48" i="22"/>
  <c r="M107" i="22"/>
  <c r="F115" i="22"/>
  <c r="F114" i="22"/>
  <c r="E113" i="22"/>
  <c r="T115" i="22" l="1"/>
  <c r="S115" i="22"/>
  <c r="T114" i="22"/>
  <c r="S114" i="22"/>
  <c r="S119" i="22"/>
  <c r="T119" i="22"/>
  <c r="M135" i="22"/>
  <c r="V114" i="22"/>
  <c r="M127" i="22"/>
  <c r="M129" i="22" s="1"/>
  <c r="M125" i="22"/>
  <c r="M89" i="22"/>
  <c r="M141" i="22" s="1"/>
  <c r="M133" i="22"/>
  <c r="V115" i="22"/>
  <c r="M139" i="22" l="1"/>
  <c r="M151" i="22" s="1"/>
  <c r="D119" i="22"/>
  <c r="F15" i="22" l="1"/>
  <c r="F13" i="22"/>
  <c r="F12" i="22"/>
  <c r="F11" i="22"/>
  <c r="F10" i="22"/>
  <c r="F8" i="22"/>
  <c r="F7" i="22"/>
  <c r="L118" i="22"/>
  <c r="L117" i="22" s="1"/>
  <c r="L98" i="22"/>
  <c r="L91" i="22"/>
  <c r="L105" i="22" s="1"/>
  <c r="L86" i="22"/>
  <c r="L84" i="22"/>
  <c r="L71" i="22"/>
  <c r="L33" i="22"/>
  <c r="L18" i="22"/>
  <c r="L14" i="22"/>
  <c r="L9" i="22"/>
  <c r="T15" i="22" l="1"/>
  <c r="S15" i="22"/>
  <c r="S10" i="22"/>
  <c r="T10" i="22"/>
  <c r="S11" i="22"/>
  <c r="T11" i="22"/>
  <c r="T7" i="22"/>
  <c r="S7" i="22"/>
  <c r="T12" i="22"/>
  <c r="S12" i="22"/>
  <c r="T13" i="22"/>
  <c r="S13" i="22"/>
  <c r="S8" i="22"/>
  <c r="T8" i="22"/>
  <c r="L87" i="22"/>
  <c r="L137" i="22" s="1"/>
  <c r="L48" i="22"/>
  <c r="L125" i="22" s="1"/>
  <c r="L85" i="22"/>
  <c r="L82" i="22" s="1"/>
  <c r="L133" i="22" s="1"/>
  <c r="L136" i="22"/>
  <c r="L107" i="22"/>
  <c r="L121" i="22"/>
  <c r="L123" i="22" s="1"/>
  <c r="L135" i="22" l="1"/>
  <c r="L139" i="22"/>
  <c r="L151" i="22" s="1"/>
  <c r="L127" i="22"/>
  <c r="L129" i="22" s="1"/>
  <c r="L89" i="22"/>
  <c r="L141" i="22" s="1"/>
  <c r="F103" i="22"/>
  <c r="S103" i="22" s="1"/>
  <c r="F110" i="22"/>
  <c r="T110" i="22" l="1"/>
  <c r="S110" i="22"/>
  <c r="W110" i="22"/>
  <c r="U119" i="22" l="1"/>
  <c r="V110" i="22"/>
  <c r="A110" i="22"/>
  <c r="U98" i="22"/>
  <c r="V103" i="22"/>
  <c r="K118" i="22" l="1"/>
  <c r="K117" i="22" s="1"/>
  <c r="K98" i="22"/>
  <c r="K91" i="22"/>
  <c r="K105" i="22" s="1"/>
  <c r="K86" i="22"/>
  <c r="K84" i="22"/>
  <c r="K73" i="22"/>
  <c r="K72" i="22"/>
  <c r="K33" i="22"/>
  <c r="K18" i="22"/>
  <c r="K14" i="22"/>
  <c r="K9" i="22"/>
  <c r="K71" i="22" l="1"/>
  <c r="K136" i="22"/>
  <c r="K48" i="22"/>
  <c r="K107" i="22"/>
  <c r="K121" i="22"/>
  <c r="K123" i="22" s="1"/>
  <c r="K87" i="22" l="1"/>
  <c r="K85" i="22" s="1"/>
  <c r="K82" i="22" s="1"/>
  <c r="K133" i="22" s="1"/>
  <c r="K127" i="22"/>
  <c r="K129" i="22" s="1"/>
  <c r="K125" i="22"/>
  <c r="E9" i="22"/>
  <c r="K139" i="22" l="1"/>
  <c r="K151" i="22" s="1"/>
  <c r="K89" i="22"/>
  <c r="K141" i="22" s="1"/>
  <c r="K137" i="22"/>
  <c r="K135" i="22" s="1"/>
  <c r="J118" i="22"/>
  <c r="J117" i="22" s="1"/>
  <c r="J98" i="22"/>
  <c r="J91" i="22"/>
  <c r="J105" i="22" s="1"/>
  <c r="J86" i="22"/>
  <c r="J84" i="22"/>
  <c r="J71" i="22"/>
  <c r="J33" i="22"/>
  <c r="J18" i="22"/>
  <c r="J14" i="22"/>
  <c r="J9" i="22"/>
  <c r="I86" i="22"/>
  <c r="H86" i="22"/>
  <c r="G86" i="22"/>
  <c r="F52" i="22"/>
  <c r="F61" i="22"/>
  <c r="F65" i="22"/>
  <c r="V65" i="22" l="1"/>
  <c r="S65" i="22"/>
  <c r="T61" i="22"/>
  <c r="S61" i="22"/>
  <c r="T52" i="22"/>
  <c r="S52" i="22"/>
  <c r="V61" i="22"/>
  <c r="W61" i="22"/>
  <c r="J87" i="22"/>
  <c r="J137" i="22" s="1"/>
  <c r="V52" i="22"/>
  <c r="J48" i="22"/>
  <c r="J125" i="22" s="1"/>
  <c r="J136" i="22"/>
  <c r="J121" i="22"/>
  <c r="J123" i="22" s="1"/>
  <c r="J107" i="22"/>
  <c r="J135" i="22" l="1"/>
  <c r="J85" i="22"/>
  <c r="J82" i="22" s="1"/>
  <c r="J127" i="22"/>
  <c r="J129" i="22" s="1"/>
  <c r="J133" i="22"/>
  <c r="J139" i="22" s="1"/>
  <c r="J151" i="22" s="1"/>
  <c r="J89" i="22"/>
  <c r="J141" i="22" s="1"/>
  <c r="F78" i="22" l="1"/>
  <c r="D71" i="22"/>
  <c r="S78" i="22" l="1"/>
  <c r="T78" i="22"/>
  <c r="V78" i="22"/>
  <c r="I118" i="22" l="1"/>
  <c r="I98" i="22"/>
  <c r="I91" i="22"/>
  <c r="I105" i="22" s="1"/>
  <c r="I84" i="22"/>
  <c r="I71" i="22"/>
  <c r="I87" i="22" s="1"/>
  <c r="I33" i="22"/>
  <c r="I18" i="22"/>
  <c r="I14" i="22"/>
  <c r="I9" i="22"/>
  <c r="I85" i="22" l="1"/>
  <c r="I82" i="22" s="1"/>
  <c r="I136" i="22"/>
  <c r="I117" i="22"/>
  <c r="I121" i="22" s="1"/>
  <c r="I123" i="22" s="1"/>
  <c r="I137" i="22"/>
  <c r="I48" i="22"/>
  <c r="I107" i="22"/>
  <c r="I133" i="22" l="1"/>
  <c r="I135" i="22"/>
  <c r="I127" i="22"/>
  <c r="I129" i="22" s="1"/>
  <c r="I125" i="22"/>
  <c r="I89" i="22"/>
  <c r="I141" i="22" s="1"/>
  <c r="F44" i="22"/>
  <c r="F32" i="22"/>
  <c r="H118" i="22"/>
  <c r="H98" i="22"/>
  <c r="H91" i="22"/>
  <c r="H105" i="22" s="1"/>
  <c r="H84" i="22"/>
  <c r="H71" i="22"/>
  <c r="H33" i="22"/>
  <c r="H18" i="22"/>
  <c r="H14" i="22"/>
  <c r="H9" i="22"/>
  <c r="F113" i="22"/>
  <c r="F75" i="22"/>
  <c r="S113" i="22" l="1"/>
  <c r="T113" i="22"/>
  <c r="T75" i="22"/>
  <c r="S75" i="22"/>
  <c r="S44" i="22"/>
  <c r="T32" i="22"/>
  <c r="S32" i="22"/>
  <c r="V113" i="22"/>
  <c r="H87" i="22"/>
  <c r="H85" i="22" s="1"/>
  <c r="H82" i="22" s="1"/>
  <c r="W75" i="22"/>
  <c r="I139" i="22"/>
  <c r="I151" i="22" s="1"/>
  <c r="H117" i="22"/>
  <c r="H136" i="22"/>
  <c r="V44" i="22"/>
  <c r="V75" i="22"/>
  <c r="V32" i="22"/>
  <c r="H48" i="22"/>
  <c r="H125" i="22" s="1"/>
  <c r="H107" i="22"/>
  <c r="H137" i="22" l="1"/>
  <c r="H135" i="22" s="1"/>
  <c r="H133" i="22"/>
  <c r="H139" i="22" s="1"/>
  <c r="H151" i="22" s="1"/>
  <c r="H121" i="22"/>
  <c r="H123" i="22" s="1"/>
  <c r="H89" i="22"/>
  <c r="H127" i="22"/>
  <c r="H129" i="22" s="1"/>
  <c r="H141" i="22" l="1"/>
  <c r="A25" i="22"/>
  <c r="R9" i="22" l="1"/>
  <c r="G9" i="22"/>
  <c r="R18" i="22"/>
  <c r="R14" i="22"/>
  <c r="R137" i="22"/>
  <c r="R84" i="22"/>
  <c r="R91" i="22"/>
  <c r="R105" i="22" s="1"/>
  <c r="R107" i="22" s="1"/>
  <c r="R98" i="22"/>
  <c r="R118" i="22"/>
  <c r="F131" i="22"/>
  <c r="F109" i="22"/>
  <c r="F104" i="22"/>
  <c r="F102" i="22"/>
  <c r="F101" i="22"/>
  <c r="F100" i="22"/>
  <c r="F99" i="22"/>
  <c r="F97" i="22"/>
  <c r="F96" i="22"/>
  <c r="F95" i="22"/>
  <c r="F94" i="22"/>
  <c r="F93" i="22"/>
  <c r="S93" i="22" s="1"/>
  <c r="F92" i="22"/>
  <c r="F76" i="22"/>
  <c r="F74" i="22"/>
  <c r="F73" i="22"/>
  <c r="F72" i="22"/>
  <c r="W67" i="22"/>
  <c r="F64" i="22"/>
  <c r="F63" i="22"/>
  <c r="F60" i="22"/>
  <c r="F58" i="22"/>
  <c r="F53" i="22"/>
  <c r="F51" i="22"/>
  <c r="F50" i="22"/>
  <c r="F47" i="22"/>
  <c r="S47" i="22" s="1"/>
  <c r="F46" i="22"/>
  <c r="F45" i="22"/>
  <c r="F42" i="22"/>
  <c r="F41" i="22"/>
  <c r="F40" i="22"/>
  <c r="F39" i="22"/>
  <c r="F38" i="22"/>
  <c r="F37" i="22"/>
  <c r="F36" i="22"/>
  <c r="F35" i="22"/>
  <c r="F34" i="22"/>
  <c r="F31" i="22"/>
  <c r="F30" i="22"/>
  <c r="F29" i="22"/>
  <c r="F28" i="22"/>
  <c r="F27" i="22"/>
  <c r="F26" i="22"/>
  <c r="F25" i="22"/>
  <c r="F24" i="22"/>
  <c r="F23" i="22"/>
  <c r="F22" i="22"/>
  <c r="F21" i="22"/>
  <c r="F20" i="22"/>
  <c r="F19" i="22"/>
  <c r="F17" i="22"/>
  <c r="F16" i="22"/>
  <c r="S76" i="22" l="1"/>
  <c r="T76" i="22"/>
  <c r="T131" i="22"/>
  <c r="S131" i="22"/>
  <c r="W97" i="22"/>
  <c r="T97" i="22"/>
  <c r="S97" i="22"/>
  <c r="S109" i="22"/>
  <c r="T109" i="22"/>
  <c r="S99" i="22"/>
  <c r="T99" i="22"/>
  <c r="T100" i="22"/>
  <c r="S100" i="22"/>
  <c r="T94" i="22"/>
  <c r="S94" i="22"/>
  <c r="T101" i="22"/>
  <c r="S101" i="22"/>
  <c r="T92" i="22"/>
  <c r="S92" i="22"/>
  <c r="T95" i="22"/>
  <c r="S95" i="22"/>
  <c r="T102" i="22"/>
  <c r="S102" i="22"/>
  <c r="W96" i="22"/>
  <c r="T96" i="22"/>
  <c r="S96" i="22"/>
  <c r="T104" i="22"/>
  <c r="S104" i="22"/>
  <c r="S63" i="22"/>
  <c r="S64" i="22"/>
  <c r="W25" i="22"/>
  <c r="T25" i="22"/>
  <c r="S25" i="22"/>
  <c r="S51" i="22"/>
  <c r="T39" i="22"/>
  <c r="S39" i="22"/>
  <c r="T34" i="22"/>
  <c r="S34" i="22"/>
  <c r="T27" i="22"/>
  <c r="S27" i="22"/>
  <c r="T22" i="22"/>
  <c r="S22" i="22"/>
  <c r="S42" i="22"/>
  <c r="T42" i="22"/>
  <c r="S53" i="22"/>
  <c r="W72" i="22"/>
  <c r="T72" i="22"/>
  <c r="S72" i="22"/>
  <c r="S19" i="22"/>
  <c r="T19" i="22"/>
  <c r="T31" i="22"/>
  <c r="S31" i="22"/>
  <c r="T26" i="22"/>
  <c r="S26" i="22"/>
  <c r="S50" i="22"/>
  <c r="T50" i="22"/>
  <c r="T35" i="22"/>
  <c r="S35" i="22"/>
  <c r="T36" i="22"/>
  <c r="S36" i="22"/>
  <c r="S23" i="22"/>
  <c r="T23" i="22"/>
  <c r="T37" i="22"/>
  <c r="S37" i="22"/>
  <c r="T45" i="22"/>
  <c r="S45" i="22"/>
  <c r="T58" i="22"/>
  <c r="S58" i="22"/>
  <c r="W73" i="22"/>
  <c r="T73" i="22"/>
  <c r="S73" i="22"/>
  <c r="T20" i="22"/>
  <c r="S20" i="22"/>
  <c r="T40" i="22"/>
  <c r="S40" i="22"/>
  <c r="T21" i="22"/>
  <c r="S21" i="22"/>
  <c r="S41" i="22"/>
  <c r="T41" i="22"/>
  <c r="T28" i="22"/>
  <c r="S28" i="22"/>
  <c r="S16" i="22"/>
  <c r="T16" i="22"/>
  <c r="T29" i="22"/>
  <c r="S29" i="22"/>
  <c r="T17" i="22"/>
  <c r="S17" i="22"/>
  <c r="S24" i="22"/>
  <c r="S30" i="22"/>
  <c r="T30" i="22"/>
  <c r="T38" i="22"/>
  <c r="S38" i="22"/>
  <c r="W46" i="22"/>
  <c r="S46" i="22"/>
  <c r="W60" i="22"/>
  <c r="T60" i="22"/>
  <c r="S60" i="22"/>
  <c r="W74" i="22"/>
  <c r="T74" i="22"/>
  <c r="S74" i="22"/>
  <c r="R48" i="22"/>
  <c r="R127" i="22" s="1"/>
  <c r="R129" i="22" s="1"/>
  <c r="W109" i="22"/>
  <c r="W119" i="22"/>
  <c r="F9" i="22"/>
  <c r="W99" i="22"/>
  <c r="W95" i="22"/>
  <c r="V10" i="22"/>
  <c r="W27" i="22"/>
  <c r="W15" i="22"/>
  <c r="W16" i="22"/>
  <c r="W11" i="22"/>
  <c r="W13" i="22"/>
  <c r="R136" i="22"/>
  <c r="R135" i="22" s="1"/>
  <c r="R85" i="22"/>
  <c r="R117" i="22"/>
  <c r="R121" i="22" s="1"/>
  <c r="R123" i="22" s="1"/>
  <c r="V24" i="22"/>
  <c r="T9" i="22" l="1"/>
  <c r="S9" i="22"/>
  <c r="R125" i="22"/>
  <c r="R82" i="22"/>
  <c r="U18" i="22"/>
  <c r="V67" i="22"/>
  <c r="G18" i="22"/>
  <c r="F18" i="22" s="1"/>
  <c r="G118" i="22"/>
  <c r="F118" i="22" s="1"/>
  <c r="E118" i="22"/>
  <c r="E117" i="22" s="1"/>
  <c r="F86" i="22"/>
  <c r="G84" i="22"/>
  <c r="F84" i="22" s="1"/>
  <c r="S84" i="22" s="1"/>
  <c r="E84" i="22"/>
  <c r="G71" i="22"/>
  <c r="E33" i="22"/>
  <c r="E18" i="22"/>
  <c r="E14" i="22"/>
  <c r="S118" i="22" l="1"/>
  <c r="T118" i="22"/>
  <c r="T86" i="22"/>
  <c r="S86" i="22"/>
  <c r="T18" i="22"/>
  <c r="S18" i="22"/>
  <c r="F71" i="22"/>
  <c r="G117" i="22"/>
  <c r="F117" i="22" s="1"/>
  <c r="T117" i="22" s="1"/>
  <c r="E48" i="22"/>
  <c r="R89" i="22"/>
  <c r="R141" i="22" s="1"/>
  <c r="R133" i="22"/>
  <c r="G136" i="22"/>
  <c r="F136" i="22" s="1"/>
  <c r="S117" i="22" l="1"/>
  <c r="T71" i="22"/>
  <c r="S71" i="22"/>
  <c r="R139" i="22"/>
  <c r="R151" i="22" s="1"/>
  <c r="D62" i="22" l="1"/>
  <c r="D87" i="22" s="1"/>
  <c r="G62" i="22"/>
  <c r="E64" i="22"/>
  <c r="Z64" i="22"/>
  <c r="D21" i="22"/>
  <c r="D19" i="22"/>
  <c r="F62" i="22" l="1"/>
  <c r="G87" i="22"/>
  <c r="F87" i="22" s="1"/>
  <c r="E62" i="22"/>
  <c r="V63" i="22"/>
  <c r="V64" i="22"/>
  <c r="D18" i="22"/>
  <c r="V62" i="22" l="1"/>
  <c r="S62" i="22"/>
  <c r="T87" i="22"/>
  <c r="S87" i="22"/>
  <c r="E85" i="22"/>
  <c r="G85" i="22"/>
  <c r="G137" i="22"/>
  <c r="E82" i="22" l="1"/>
  <c r="G82" i="22"/>
  <c r="F85" i="22"/>
  <c r="S85" i="22" s="1"/>
  <c r="G135" i="22"/>
  <c r="F135" i="22" s="1"/>
  <c r="F137" i="22"/>
  <c r="U118" i="22"/>
  <c r="W118" i="22" s="1"/>
  <c r="U91" i="22"/>
  <c r="U105" i="22" s="1"/>
  <c r="U84" i="22"/>
  <c r="U134" i="22" s="1"/>
  <c r="V134" i="22" s="1"/>
  <c r="U33" i="22"/>
  <c r="U14" i="22"/>
  <c r="T85" i="22" l="1"/>
  <c r="E89" i="22"/>
  <c r="G133" i="22"/>
  <c r="F133" i="22" s="1"/>
  <c r="F82" i="22"/>
  <c r="T82" i="22" s="1"/>
  <c r="U137" i="22"/>
  <c r="U117" i="22"/>
  <c r="U85" i="22"/>
  <c r="U82" i="22" s="1"/>
  <c r="U107" i="22"/>
  <c r="U136" i="22"/>
  <c r="X18" i="22"/>
  <c r="X15" i="22"/>
  <c r="S82" i="22" l="1"/>
  <c r="U121" i="22"/>
  <c r="Y121" i="22" s="1"/>
  <c r="W117" i="22"/>
  <c r="U89" i="22"/>
  <c r="U127" i="22"/>
  <c r="U129" i="22" s="1"/>
  <c r="U135" i="22"/>
  <c r="U133" i="22"/>
  <c r="U125" i="22"/>
  <c r="U139" i="22" l="1"/>
  <c r="U123" i="22"/>
  <c r="U141" i="22" s="1"/>
  <c r="W131" i="22"/>
  <c r="D118" i="22"/>
  <c r="D117" i="22" s="1"/>
  <c r="G98" i="22"/>
  <c r="F98" i="22" s="1"/>
  <c r="D98" i="22"/>
  <c r="A95" i="22"/>
  <c r="A96" i="22" s="1"/>
  <c r="A97" i="22" s="1"/>
  <c r="A98" i="22" s="1"/>
  <c r="W93" i="22"/>
  <c r="V92" i="22"/>
  <c r="G91" i="22"/>
  <c r="F91" i="22" s="1"/>
  <c r="D91" i="22"/>
  <c r="D105" i="22" s="1"/>
  <c r="D86" i="22"/>
  <c r="D84" i="22"/>
  <c r="V74" i="22"/>
  <c r="V72" i="22"/>
  <c r="Y71" i="22"/>
  <c r="V41" i="22"/>
  <c r="V40" i="22"/>
  <c r="A39" i="22"/>
  <c r="A40" i="22" s="1"/>
  <c r="A41" i="22" s="1"/>
  <c r="W34" i="22"/>
  <c r="X34" i="22" s="1"/>
  <c r="G33" i="22"/>
  <c r="F33" i="22" s="1"/>
  <c r="D33" i="22"/>
  <c r="W31" i="22"/>
  <c r="A26" i="22"/>
  <c r="A27" i="22" s="1"/>
  <c r="A28" i="22" s="1"/>
  <c r="A29" i="22" s="1"/>
  <c r="A30" i="22" s="1"/>
  <c r="A31" i="22" s="1"/>
  <c r="A32" i="22" s="1"/>
  <c r="A33" i="22" s="1"/>
  <c r="W21" i="22"/>
  <c r="X21" i="22" s="1"/>
  <c r="G14" i="22"/>
  <c r="D14" i="22"/>
  <c r="D9" i="22"/>
  <c r="Z8" i="22"/>
  <c r="AA8" i="22" s="1"/>
  <c r="W8" i="22"/>
  <c r="A8" i="22"/>
  <c r="AA7" i="22"/>
  <c r="Z7" i="22"/>
  <c r="C5" i="22"/>
  <c r="D5" i="22" s="1"/>
  <c r="E5" i="22" s="1"/>
  <c r="S98" i="22" l="1"/>
  <c r="T98" i="22"/>
  <c r="T33" i="22"/>
  <c r="S33" i="22"/>
  <c r="A42" i="22"/>
  <c r="A44" i="22" s="1"/>
  <c r="A45" i="22" s="1"/>
  <c r="A46" i="22" s="1"/>
  <c r="A47" i="22" s="1"/>
  <c r="F14" i="22"/>
  <c r="G48" i="22"/>
  <c r="F48" i="22" s="1"/>
  <c r="D136" i="22"/>
  <c r="D48" i="22"/>
  <c r="D125" i="22" s="1"/>
  <c r="V93" i="22"/>
  <c r="W94" i="22"/>
  <c r="W50" i="22"/>
  <c r="V21" i="22"/>
  <c r="Z23" i="22"/>
  <c r="W92" i="22"/>
  <c r="V94" i="22"/>
  <c r="V131" i="22"/>
  <c r="W38" i="22"/>
  <c r="V58" i="22"/>
  <c r="V13" i="22"/>
  <c r="W23" i="22"/>
  <c r="W26" i="22"/>
  <c r="W58" i="22"/>
  <c r="W84" i="22"/>
  <c r="Y15" i="22"/>
  <c r="W39" i="22"/>
  <c r="X39" i="22" s="1"/>
  <c r="E91" i="22"/>
  <c r="S91" i="22" s="1"/>
  <c r="V39" i="22"/>
  <c r="W51" i="22"/>
  <c r="Y18" i="22"/>
  <c r="V101" i="22"/>
  <c r="V35" i="22"/>
  <c r="V26" i="22"/>
  <c r="W35" i="22"/>
  <c r="X35" i="22" s="1"/>
  <c r="V51" i="22"/>
  <c r="V99" i="22"/>
  <c r="AB48" i="22"/>
  <c r="W33" i="22"/>
  <c r="V33" i="22"/>
  <c r="W98" i="22"/>
  <c r="V98" i="22"/>
  <c r="V18" i="22"/>
  <c r="W18" i="22"/>
  <c r="Y48" i="22"/>
  <c r="Z46" i="22"/>
  <c r="W30" i="22"/>
  <c r="V12" i="22"/>
  <c r="V17" i="22"/>
  <c r="V7" i="22"/>
  <c r="W12" i="22"/>
  <c r="W29" i="22"/>
  <c r="X29" i="22" s="1"/>
  <c r="W7" i="22"/>
  <c r="V8" i="22"/>
  <c r="V11" i="22"/>
  <c r="V15" i="22"/>
  <c r="V20" i="22"/>
  <c r="Z21" i="22"/>
  <c r="V46" i="22"/>
  <c r="V97" i="22"/>
  <c r="V23" i="22"/>
  <c r="V27" i="22"/>
  <c r="V36" i="22"/>
  <c r="W36" i="22"/>
  <c r="W53" i="22"/>
  <c r="V30" i="22"/>
  <c r="W19" i="22"/>
  <c r="V37" i="22"/>
  <c r="W45" i="22"/>
  <c r="V45" i="22"/>
  <c r="V60" i="22"/>
  <c r="V100" i="22"/>
  <c r="W17" i="22"/>
  <c r="V84" i="22"/>
  <c r="V28" i="22"/>
  <c r="W37" i="22"/>
  <c r="V16" i="22"/>
  <c r="V19" i="22"/>
  <c r="V29" i="22"/>
  <c r="V47" i="22"/>
  <c r="V25" i="22"/>
  <c r="V31" i="22"/>
  <c r="D107" i="22"/>
  <c r="D121" i="22"/>
  <c r="D123" i="22" s="1"/>
  <c r="W20" i="22"/>
  <c r="V22" i="22"/>
  <c r="W22" i="22"/>
  <c r="X25" i="22"/>
  <c r="V34" i="22"/>
  <c r="V38" i="22"/>
  <c r="W42" i="22"/>
  <c r="V42" i="22"/>
  <c r="V50" i="22"/>
  <c r="V53" i="22"/>
  <c r="V95" i="22"/>
  <c r="W100" i="22"/>
  <c r="W102" i="22"/>
  <c r="V102" i="22"/>
  <c r="G105" i="22"/>
  <c r="G107" i="22" s="1"/>
  <c r="F107" i="22" s="1"/>
  <c r="V73" i="22"/>
  <c r="E136" i="22"/>
  <c r="V96" i="22"/>
  <c r="V109" i="22"/>
  <c r="W104" i="22"/>
  <c r="V104" i="22"/>
  <c r="W101" i="22"/>
  <c r="T91" i="22" l="1"/>
  <c r="S48" i="22"/>
  <c r="T48" i="22"/>
  <c r="W14" i="22"/>
  <c r="T14" i="22"/>
  <c r="S14" i="22"/>
  <c r="T136" i="22"/>
  <c r="S136" i="22"/>
  <c r="V14" i="22"/>
  <c r="E105" i="22"/>
  <c r="G121" i="22"/>
  <c r="F105" i="22"/>
  <c r="G89" i="22"/>
  <c r="F89" i="22" s="1"/>
  <c r="W9" i="22"/>
  <c r="V9" i="22"/>
  <c r="G125" i="22"/>
  <c r="D127" i="22"/>
  <c r="D129" i="22" s="1"/>
  <c r="V118" i="22"/>
  <c r="D137" i="22"/>
  <c r="D135" i="22" s="1"/>
  <c r="D85" i="22"/>
  <c r="D82" i="22" s="1"/>
  <c r="V76" i="22"/>
  <c r="Y89" i="22"/>
  <c r="W71" i="22"/>
  <c r="V71" i="22"/>
  <c r="V86" i="22"/>
  <c r="W86" i="22"/>
  <c r="V48" i="22"/>
  <c r="Y46" i="22"/>
  <c r="AA46" i="22" s="1"/>
  <c r="W48" i="22"/>
  <c r="V91" i="22"/>
  <c r="W91" i="22"/>
  <c r="T105" i="22" l="1"/>
  <c r="S105" i="22"/>
  <c r="S89" i="22"/>
  <c r="T89" i="22"/>
  <c r="E107" i="22"/>
  <c r="G123" i="22"/>
  <c r="F123" i="22" s="1"/>
  <c r="F121" i="22"/>
  <c r="G127" i="22"/>
  <c r="G129" i="22" s="1"/>
  <c r="F129" i="22" s="1"/>
  <c r="G139" i="22"/>
  <c r="F125" i="22"/>
  <c r="V119" i="22"/>
  <c r="W136" i="22"/>
  <c r="V136" i="22"/>
  <c r="D133" i="22"/>
  <c r="D139" i="22" s="1"/>
  <c r="D151" i="22" s="1"/>
  <c r="D89" i="22"/>
  <c r="D141" i="22" s="1"/>
  <c r="E141" i="22" s="1"/>
  <c r="E125" i="22"/>
  <c r="V117" i="22"/>
  <c r="W105" i="22"/>
  <c r="V105" i="22"/>
  <c r="E127" i="22" l="1"/>
  <c r="T107" i="22"/>
  <c r="S107" i="22"/>
  <c r="E129" i="22"/>
  <c r="T125" i="22"/>
  <c r="S125" i="22"/>
  <c r="F127" i="22"/>
  <c r="F139" i="22"/>
  <c r="G151" i="22"/>
  <c r="V125" i="22"/>
  <c r="W125" i="22"/>
  <c r="W107" i="22"/>
  <c r="V107" i="22"/>
  <c r="E137" i="22"/>
  <c r="V137" i="22"/>
  <c r="W137" i="22"/>
  <c r="V87" i="22"/>
  <c r="W87" i="22"/>
  <c r="S127" i="22" l="1"/>
  <c r="T127" i="22"/>
  <c r="E135" i="22"/>
  <c r="T135" i="22" s="1"/>
  <c r="S137" i="22"/>
  <c r="T137" i="22"/>
  <c r="T129" i="22"/>
  <c r="S129" i="22"/>
  <c r="F151" i="22"/>
  <c r="W123" i="22"/>
  <c r="V123" i="22"/>
  <c r="G141" i="22"/>
  <c r="F141" i="22" s="1"/>
  <c r="W85" i="22"/>
  <c r="V85" i="22"/>
  <c r="E133" i="22"/>
  <c r="E121" i="22"/>
  <c r="W129" i="22"/>
  <c r="V129" i="22"/>
  <c r="W121" i="22"/>
  <c r="V121" i="22"/>
  <c r="W135" i="22"/>
  <c r="V135" i="22"/>
  <c r="W127" i="22"/>
  <c r="V127" i="22"/>
  <c r="T141" i="22" l="1"/>
  <c r="S141" i="22"/>
  <c r="E123" i="22"/>
  <c r="S121" i="22"/>
  <c r="T121" i="22"/>
  <c r="S135" i="22"/>
  <c r="E139" i="22"/>
  <c r="T139" i="22" s="1"/>
  <c r="S133" i="22"/>
  <c r="T133" i="22"/>
  <c r="V82" i="22"/>
  <c r="W82" i="22"/>
  <c r="V141" i="22"/>
  <c r="W141" i="22"/>
  <c r="V133" i="22"/>
  <c r="W133" i="22"/>
  <c r="T123" i="22" l="1"/>
  <c r="S123" i="22"/>
  <c r="E151" i="22"/>
  <c r="S139" i="22"/>
  <c r="V139" i="22"/>
  <c r="W139" i="22"/>
  <c r="W89" i="22"/>
  <c r="V89" i="22"/>
  <c r="Y139" i="22" l="1"/>
</calcChain>
</file>

<file path=xl/sharedStrings.xml><?xml version="1.0" encoding="utf-8"?>
<sst xmlns="http://schemas.openxmlformats.org/spreadsheetml/2006/main" count="267" uniqueCount="253">
  <si>
    <t>№ п/п</t>
  </si>
  <si>
    <t>Найменування доходів</t>
  </si>
  <si>
    <t>Код бюджетної класифікації</t>
  </si>
  <si>
    <t>%</t>
  </si>
  <si>
    <t>1</t>
  </si>
  <si>
    <t>2</t>
  </si>
  <si>
    <t>ЗАГАЛЬНИЙ ФОНД</t>
  </si>
  <si>
    <t>Плата за землю</t>
  </si>
  <si>
    <t>Інші надходження</t>
  </si>
  <si>
    <t>СПЕЦІАЛЬНИЙ ФОНД</t>
  </si>
  <si>
    <t>Бюджет розвитку, в т.ч.</t>
  </si>
  <si>
    <t>Цільові фонди, утворені органами місцевого самоврядування</t>
  </si>
  <si>
    <t>Власні надходження бюджетних установ</t>
  </si>
  <si>
    <t>тис.грн.</t>
  </si>
  <si>
    <t>11010000</t>
  </si>
  <si>
    <t>22090000</t>
  </si>
  <si>
    <t>11020200</t>
  </si>
  <si>
    <t>21010300</t>
  </si>
  <si>
    <t>21080500</t>
  </si>
  <si>
    <t>22080400</t>
  </si>
  <si>
    <t>24060300</t>
  </si>
  <si>
    <t>25000000</t>
  </si>
  <si>
    <t>31030000</t>
  </si>
  <si>
    <t>50110000</t>
  </si>
  <si>
    <t>21081100</t>
  </si>
  <si>
    <t xml:space="preserve">24062100 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</si>
  <si>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</t>
  </si>
  <si>
    <t>ВСЬОГО ДОХОДІВ ЗАГАЛЬНОГО ФОНДУ</t>
  </si>
  <si>
    <t>ВСЬОГО трансфертів</t>
  </si>
  <si>
    <t>Адміністративні штрафи та інші санкції</t>
  </si>
  <si>
    <t>19010000</t>
  </si>
  <si>
    <t>Екологічний податок</t>
  </si>
  <si>
    <t>Єдиний податок</t>
  </si>
  <si>
    <t>18050000</t>
  </si>
  <si>
    <t>Податок на прибуток підприємств та фінансових установ комунальної власності</t>
  </si>
  <si>
    <t>Кошти від відчуження майна, що перебуває в комунальній власності</t>
  </si>
  <si>
    <t>18000000</t>
  </si>
  <si>
    <t>18030000</t>
  </si>
  <si>
    <t>Туристичний збір</t>
  </si>
  <si>
    <t>ВСЬОГО ДОХОДІВ ЗАГАЛЬНОГО ТА СПЕЦІАЛЬНОГО ФОНДІВ</t>
  </si>
  <si>
    <t>ВСЬОГО ДОХОДІВ СПЕЦІАЛЬНОГО ФОНДУ</t>
  </si>
  <si>
    <t>33010000</t>
  </si>
  <si>
    <t>18010000</t>
  </si>
  <si>
    <t>24170000</t>
  </si>
  <si>
    <t>Частина чистого прибутку (доходу) комунальних унітарних підприємств та їх об'єднань, що вилучається до відповідного місцевого бюджету</t>
  </si>
  <si>
    <t>24062200</t>
  </si>
  <si>
    <t xml:space="preserve"> </t>
  </si>
  <si>
    <t>Власні і закіплені З Ф</t>
  </si>
  <si>
    <t>Власні і закіплені С Ф</t>
  </si>
  <si>
    <t>Вього СФ</t>
  </si>
  <si>
    <t>вик.: Серветник М.</t>
  </si>
  <si>
    <t>Кошти за шкоду, що заподіяна на земельних ділянках державної та комунальної власності, які не надані у користування та не передані у власність, внаслідок їх самовільного зайняття, використання не за цільовим призначенням, зняття ґрунтового покриву (родючого шару ґрунту) без спеціального дозволу; відшкодування збитків за погіршення якості ґрунтового покриву тощо та за неодержання доходів у зв'язку з тимчасовим невикористанням земельних ділянок</t>
  </si>
  <si>
    <t>Державне мито</t>
  </si>
  <si>
    <t>41033900</t>
  </si>
  <si>
    <t>41034200</t>
  </si>
  <si>
    <t>14040000</t>
  </si>
  <si>
    <t>Податок на нерухоме майно, відмінне від земельної ділянки</t>
  </si>
  <si>
    <t>Транспортний податок</t>
  </si>
  <si>
    <t>Плата за надання інших адміністративних послуг</t>
  </si>
  <si>
    <t>22012500</t>
  </si>
  <si>
    <t>Надходження сум кредиторської та депонентської заборгованості</t>
  </si>
  <si>
    <t>24030000</t>
  </si>
  <si>
    <t>січень</t>
  </si>
  <si>
    <t>24110700</t>
  </si>
  <si>
    <t>ВСЬОГО ДОХОДІВ СПЕЦІАЛЬНОГО ФОНДУ 
(без власних надходжень бюджетних установ ККД 25000000)</t>
  </si>
  <si>
    <t>Всього власних та закріплених доходів 
(без власних надходжень бюджетних установ ККД 25000000)</t>
  </si>
  <si>
    <t>Податок та збір на доходи фізичних осіб</t>
  </si>
  <si>
    <t>Відсотки за користування довгостроковим кредитом, що надається з місцевих бюджетів молодим сім'ям та одиноким молодим громадянам на будівництво (реконструкцію) та придбання житла</t>
  </si>
  <si>
    <t>24110900</t>
  </si>
  <si>
    <t>Кошти від продажу землі</t>
  </si>
  <si>
    <t>Реверсна дотація</t>
  </si>
  <si>
    <t>21050000</t>
  </si>
  <si>
    <t>Плата за розміщення тимчасово вільних коштів місцевих бюджетів</t>
  </si>
  <si>
    <t>41034900</t>
  </si>
  <si>
    <t>Субвенції, з них:</t>
  </si>
  <si>
    <t>ВСЬОГО ДОХОДІВ ЗАГАЛЬНОГО ТА СПЕЦІАЛЬНОГО ФОНДІВ 
(без власних надходжень бюджетних установ ККД 25000000)</t>
  </si>
  <si>
    <t>22010300</t>
  </si>
  <si>
    <t>Адміністративний збір за проведення державної реєстрації юридичних осіб, фізичних осіб - підприємців та громадських формувань</t>
  </si>
  <si>
    <t>22012600</t>
  </si>
  <si>
    <t>22012900</t>
  </si>
  <si>
    <t>Плата за скорочення термінів надання послуг у сфері державної реєстрації речових прав на нерухоме майно та їх обтяжень і державної реєстрації юридичних осіб, фізичних осіб - підприємців та громадських формувань, а також плата за надання інших платних послуг, пов'язаних з такою державною реєстрацією</t>
  </si>
  <si>
    <t>Адміністративний збір за державну реєстрацію речових прав на нерухоме майно та їх обтяжень</t>
  </si>
  <si>
    <t>21081500</t>
  </si>
  <si>
    <t>Адміністративні штрафи та штрафні санкції за порушення законодавства у сфері виробництва та обігу алкогольних напоїв та тютюнових виробів</t>
  </si>
  <si>
    <t>22010000</t>
  </si>
  <si>
    <t>Плата за надання адміністративних послуг:</t>
  </si>
  <si>
    <t>31020000</t>
  </si>
  <si>
    <t>Надходження коштів від Державного фонду дорогоцінних металів і дорогоцінного каміння</t>
  </si>
  <si>
    <t>Надходження коштів від відшкодування втрат сільськогосподарського і лісогосподарського виробництва</t>
  </si>
  <si>
    <t>14021900</t>
  </si>
  <si>
    <t>14031900</t>
  </si>
  <si>
    <t>14000000</t>
  </si>
  <si>
    <t>Внутрішні податки на товари та послуги, в тому числі:</t>
  </si>
  <si>
    <t>* для забезпечення витратними матеріалами (кардіовиробами) хворих області в комунальному закладі "Вінницький регіональний клінічний лікувально-діагностичний центр серцево-судинної патології</t>
  </si>
  <si>
    <t>Штрафні санкції за порушення законодавства про патентування, за порушення норм регулювання обігу готівки та про застосування реєстраторів розрахункових операцій у сфері торгівлі, громадського харчування та послуг</t>
  </si>
  <si>
    <t>21080900</t>
  </si>
  <si>
    <t>Начальник відділу доходів бюджету</t>
  </si>
  <si>
    <t>Ірина Ларіна</t>
  </si>
  <si>
    <t>Акцизний податок з вироблених в Україні підакцизних товарів (продукції) (Пальне)</t>
  </si>
  <si>
    <t>Акцизний податок з ввезених на митну територію України підакцизних товарів (продукції) (Пальне)</t>
  </si>
  <si>
    <t>Акцизний податок з реалізації суб'єктами господарювання роздрібної торгівлі підакцизних товарів</t>
  </si>
  <si>
    <t>22130000</t>
  </si>
  <si>
    <t>Орендна плата за водні об'єкти (їх частини), що надаються в користування на умовах оренди Радою міністрів Автономної Республіки Крим, обласними, районними, Київською та Севастопольською міськими державними адміністраціями, місцевими радами</t>
  </si>
  <si>
    <t>*на цільові видатки на лікування хворих на цукровий та нецукровий діабет</t>
  </si>
  <si>
    <t>з них: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</si>
  <si>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</si>
  <si>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13010200</t>
  </si>
  <si>
    <t>41051500</t>
  </si>
  <si>
    <t>- з місцевого бюджету (ККД 41050000)</t>
  </si>
  <si>
    <t>-з державного бюджету (ККД 41030000)</t>
  </si>
  <si>
    <t>13030100</t>
  </si>
  <si>
    <t>Рентна плата та плата за використання інших природних ресурсів</t>
  </si>
  <si>
    <t>13000000</t>
  </si>
  <si>
    <t>3.1.</t>
  </si>
  <si>
    <t>3.2.</t>
  </si>
  <si>
    <t>3.3.</t>
  </si>
  <si>
    <t>Плата за встановлення земельного сервітуту</t>
  </si>
  <si>
    <t>21081700</t>
  </si>
  <si>
    <t>41040200</t>
  </si>
  <si>
    <t>41053900</t>
  </si>
  <si>
    <t>Дотації з місцевих бюджетів іншим місцевим бюджетам</t>
  </si>
  <si>
    <t xml:space="preserve">Надходження від плати за послуги, що надаються бюджетними установами згідно із законодавством </t>
  </si>
  <si>
    <t>25010000</t>
  </si>
  <si>
    <t xml:space="preserve">Інші джерела власних надходжень бюджетних установ  </t>
  </si>
  <si>
    <t>25020000</t>
  </si>
  <si>
    <t>1.1.</t>
  </si>
  <si>
    <t>1.2.</t>
  </si>
  <si>
    <t>41051000</t>
  </si>
  <si>
    <t>4.1.</t>
  </si>
  <si>
    <t>4.2.</t>
  </si>
  <si>
    <t>4.3.</t>
  </si>
  <si>
    <t>31010200</t>
  </si>
  <si>
    <t>Кошти від реалізації безхазяйного майна, знахідок, спадкового майна, майна, одержаного територіальною громадою в порядку спадкування чи дарування, а також валютні цінності і грошові кошти, власники яких невідомі</t>
  </si>
  <si>
    <t>41055000</t>
  </si>
  <si>
    <t>6.1.</t>
  </si>
  <si>
    <t>6.2.</t>
  </si>
  <si>
    <t>6.3.</t>
  </si>
  <si>
    <t>6.4.</t>
  </si>
  <si>
    <t>Бюджет 
на 2021 рік</t>
  </si>
  <si>
    <t>Уточнений бюджет на 2021 рік</t>
  </si>
  <si>
    <t>13040100</t>
  </si>
  <si>
    <t xml:space="preserve">Рентна плата за користування надрами для видобування корисних копалин місцевого значення </t>
  </si>
  <si>
    <t xml:space="preserve">Рентна плата за користування надрами для видобування інших корисних копалин загальнодержавного значення </t>
  </si>
  <si>
    <t>Місцеві податки та збори, що сплачуються (перераховуються) згідно з податковим кодексом України</t>
  </si>
  <si>
    <t>Плата за гарантії, надані Верховною Радою Автономної Республіки Крим, міськими та обласними радами</t>
  </si>
  <si>
    <t>5.1.</t>
  </si>
  <si>
    <t>5.2.</t>
  </si>
  <si>
    <t>5.3.</t>
  </si>
  <si>
    <t>5.4.</t>
  </si>
  <si>
    <t>5.5.</t>
  </si>
  <si>
    <t>ВСЬОГО ДОХОДІВ ЗАГАЛЬНОГО 
ТА СПЕЦІАЛЬНОГО ФОНДІВ</t>
  </si>
  <si>
    <t>Податки та збори, не віднесені до інших категорій</t>
  </si>
  <si>
    <t>19090500</t>
  </si>
  <si>
    <t>лютий</t>
  </si>
  <si>
    <t>13010100</t>
  </si>
  <si>
    <t xml:space="preserve">Рентна плата за спеціальне використання лісових ресурсів в частині деревини, заготовленої в порядку рубок головного користування </t>
  </si>
  <si>
    <t>3.4.</t>
  </si>
  <si>
    <t>Всього власних доходів</t>
  </si>
  <si>
    <t>Власні доходи
(без власних надходжень бюджетних установ ККД 25000000)</t>
  </si>
  <si>
    <t>Власні доходи 
(без власних надходжень бюджетних установ ККД 25000000) 
+освітня субвенція+медична субвенція+реверсна дотація</t>
  </si>
  <si>
    <t>Власні доходи</t>
  </si>
  <si>
    <t>24061900</t>
  </si>
  <si>
    <t>Кошти, отримані від надання учасниками процедури закупівель як забезпечення їх тендерної пропозиції (пропозиції конкурсних торгів), які не підлягають поверненню цим учасникам</t>
  </si>
  <si>
    <t>березень</t>
  </si>
  <si>
    <t>21082400</t>
  </si>
  <si>
    <t>Кошти гарантійного та реєстраційного внесків, що визначені Законом України 'Про оренду державного та комунального майна', які підлягають перерахуванню оператором електронного майданчика до відповідного бюджету</t>
  </si>
  <si>
    <t>15.1.</t>
  </si>
  <si>
    <t>15.2.</t>
  </si>
  <si>
    <t>15.3.</t>
  </si>
  <si>
    <t>15.4.</t>
  </si>
  <si>
    <t>квітень</t>
  </si>
  <si>
    <t>41051400</t>
  </si>
  <si>
    <t>41034500</t>
  </si>
  <si>
    <t>травень</t>
  </si>
  <si>
    <t>червень</t>
  </si>
  <si>
    <t>41052600</t>
  </si>
  <si>
    <t>6.5.</t>
  </si>
  <si>
    <t>липень</t>
  </si>
  <si>
    <t>Субвенція з місцевого бюджету на виплату грошової компенсації за належні для отримання жилі приміщення для сімей загиблих осіб, визначених абзацами 5 - 8 пункту 1 статті 10 Закону України "Про статус ветеранів війни, гарантії їх соціального захисту", для осіб з інвалідністю I - II групи,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визначених пунктами 11 - 14 частини другої статті 7 Закону України "Про статус ветеранів війни, гарантії їх соціального захисту", та які потребують поліпшення житлових умов за рахунок відповідної субвенції з державного бюджету</t>
  </si>
  <si>
    <t>41050400</t>
  </si>
  <si>
    <t>Субвенція з місцевого бюджету на виплату грошової компенсації за належні для отримання жилі приміщення для сімей загиблих учасників бойових дій на території інших держав, визначених у абзаці першому пункту 1 статті 10 Закону України "Про статус ветеранів війни, гарантії їх соціального захисту", для осіб з інвалідністю I - II групи з числа учасників бойових дій на території інших держав, які стали інвалідами внаслідок поранення, контузії, каліцтва або захворювання, пов'язаних з перебуванням у цих державах, визначених пунктом 7 частини другої статті 7 Закону України "Про статус ветеранів війни, гарантії їх соціального захисту", та які потребують поліпшення житлових умов за рахунок відповідної субвенції з державного бюджету</t>
  </si>
  <si>
    <t>41050500</t>
  </si>
  <si>
    <t>Субвенція з місцевого бюджету на виплату грошової компенсації за належні для отримання жилі приміщення для внутрішньо переміщених осіб, які захищали незалежність, суверенітет та територіальну цілісність України і брали безпосередню участь в антитерористичній операції, забезпеченні її проведення, перебуваючи безпосередньо в районах антитерористичної операції у період її проведення, у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перебуваючи безпосереденьо в районах та у період здійснення зазначених заходів, та визнані особами з інвалідністю внаслідок війни III групи відповідно до пунктів 11 - 14 частини другої статті 7 або учасниками бойових дій відповідно до пунктів 19 - 20 частини першої статті 6 Закону України "Про статус ветеранів війни, гарантії їх соціального захисту", та які потребують поліпшення житлових умов за рахунок відповідної субвенції з державного бюджету</t>
  </si>
  <si>
    <t>41050600</t>
  </si>
  <si>
    <t>* на будівництво мережі каналізації на території приватного сектору квартального комітету «Добробут» мікрорайону «Старе місто» в м.Вінниці</t>
  </si>
  <si>
    <t>* на капітальний ремонт по очистці р.Південний Буг</t>
  </si>
  <si>
    <t>серпень</t>
  </si>
  <si>
    <t>вересень</t>
  </si>
  <si>
    <t>41053000</t>
  </si>
  <si>
    <t>Субвенція з місцевого бюджету на реалізацію проектів з реконструкції, капітального ремонту приймальних відділень в опорних закладах охорони здоров'я у госпітальних округах за рахунок відповідної субвенції з державного бюджету</t>
  </si>
  <si>
    <t>41055100</t>
  </si>
  <si>
    <t>41032700</t>
  </si>
  <si>
    <t>Субвенція з державного бюджету місцевим бюджетам на реалізацію програми "Спроможна школа для кращих результатів"</t>
  </si>
  <si>
    <t>41055200</t>
  </si>
  <si>
    <t>жовтень</t>
  </si>
  <si>
    <t>* субвенція з бюджету Вороновицької селищної територіальної громади  на оплату комунальних послуг та енергоносіїв для терапевтичного та хірургічного відділень КНП «Вінницька клінічна багатопрофільна лікарня» Вінницької міської ради, які знаходяться за адресою: Вінницька область, Вінницький район, смт Вороновиця, вул. Гагаріна, буд.20</t>
  </si>
  <si>
    <t>Надходження коштів з рахунків виборчих фондів</t>
  </si>
  <si>
    <t>24060600</t>
  </si>
  <si>
    <t>41051100</t>
  </si>
  <si>
    <t>Субвенція з місцевого бюджету за рахунок залишку коштів освітньої субвенції, що утворився на початок бюджетного періоду</t>
  </si>
  <si>
    <t>Субвенція з місцевого бюджету на здійснення підтримки окремих закладів та заходів у системі охорони здоров'я за рахунок відповідної субвенції з державного бюджету</t>
  </si>
  <si>
    <t>листопад</t>
  </si>
  <si>
    <t>Надходження коштів пайової участі у розвитку інфраструктури населеного пункту</t>
  </si>
  <si>
    <t>Надійшло за 2020р.</t>
  </si>
  <si>
    <t>Відхилення факту  2021р. від факту  2020р.</t>
  </si>
  <si>
    <t>Відхилення надходжень до уточненого бюджету на 2021р.</t>
  </si>
  <si>
    <t>% виконання до уточненого плану на 2021р.</t>
  </si>
  <si>
    <t>грудень</t>
  </si>
  <si>
    <t xml:space="preserve">Субвенція з місцевого бюджету для забезпечення опорних закладів охорони здоров’я у госпітальних округах медичним обладнанням, а саме системами рентгенівськими діагностичними стаціонарними загального призначення (цифровими) та апаратами ультразвукової діагностики, за рахунок відповідної субвенції з державного бюджету </t>
  </si>
  <si>
    <t>41055900</t>
  </si>
  <si>
    <t>41050900</t>
  </si>
  <si>
    <t>Субвенція з місцевого бюджету на 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дітей, позбавлених батьківського піклування, осіб з їх числа за рахунок відповідної субвенції з державного бюджету</t>
  </si>
  <si>
    <t>Субвенція з місцевого бюджету на погашення заборгованості з різниці в тарифах, що підлягає урегулюванню згідно із Законом України «Про заходи, спрямовані на врегулювання заборгованості теплопостачальних та теплогенеруючих організацій та підприємств централізованого водопостачання і водовідведення» за рахунок відповідної субвенції з державного бюджету</t>
  </si>
  <si>
    <t>41052900</t>
  </si>
  <si>
    <t>Надійшло за 2021р.</t>
  </si>
  <si>
    <t>Надходження від орендної плати за користування майновим комплексом та іншим майном, що перебуває в комунальній власності</t>
  </si>
  <si>
    <t>Освітня субвенція з державного бюджету місцевим бюджетам</t>
  </si>
  <si>
    <t>Медична субвенція з державного бюджету місцевим бюджетам</t>
  </si>
  <si>
    <t>Субвенція з державного бюджету місцевим бюджетам на здійснення заходів щодо соціально-економічного розвитку окремих територій</t>
  </si>
  <si>
    <t>Дотація з місцевого бюджету на здійснення переданих з державного бюджету видатків з утримання закладів освіти та охорони здоров'я за рахунок відповідної додаткової дотації з державного бюджету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</si>
  <si>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</si>
  <si>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</si>
  <si>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Субвенція з місцевого бюджету на забезпечення якісної, сучасної та доступної загальної середньої освіти "Нова українська школа" за рахунок відповідної субвенції з державного бюджету</t>
  </si>
  <si>
    <t>Субвенція з місцевого бюджету за рахунок залишку коштів субвенції на надання державної підтримки особам з особливими освітніми потребами, що утворився на початок бюджетного періоду</t>
  </si>
  <si>
    <t>Субвенція з місцевого бюджету на проведення виборів депутатів місцевих рад та сільських, селищних, міських голів, за рахунок відповідної субвенції з державного бюджету</t>
  </si>
  <si>
    <t>Субвенція з місцевого бюджету на забезпечення подачею кисню ліжкового фонду закладів охорони здоров'я, які надають стаціонарну медичну допомогу пацієнтам з гострою респіраторною хворобою COVID-19, спричиненою коронавірусом SARS-CoV-2, за рахунок відповідної субвенції з державного бюджету</t>
  </si>
  <si>
    <r>
      <t>Субвенція з місцевого бюджету на здійснення переданих видатків у</t>
    </r>
    <r>
      <rPr>
        <sz val="15"/>
        <rFont val="Times New Roman Cyr"/>
        <charset val="204"/>
      </rPr>
      <t xml:space="preserve"> сфері охорони злоров'я за рахунок коштів медичної субвенції:</t>
    </r>
  </si>
  <si>
    <t>Інші субвенції з місцевого бюджету</t>
  </si>
  <si>
    <t>* субвенція з обласного бюджету на відшкодування витрат на поховання учасників бойових дій та осіб з інвалідністю внаслідок війни</t>
  </si>
  <si>
    <t>* субвенція з обласного бюджету на пільгове медичне обслуговування  громадян, які постраждали внаслідок Чорнобильської катастрофи</t>
  </si>
  <si>
    <t>* субвенція з обласного бюджету на компенсаційні виплати особам з інвалідністю на бензин (пальне), ремонт, техобслуговування автотранспорту та на транспортне обслуговування, встановлення телефонів особам з інвалідністю І та ІІ груп</t>
  </si>
  <si>
    <t>* субвенція з обласного бюджету на компенсаційні виплати за пільговий проїзд окремих категорій громадян на міжміських внутрішньообласних маршрутах загального користування</t>
  </si>
  <si>
    <t>* субвенція з обласного бюджету для забезпечення витратними матеріалами (кардіовиробами) хворих області в КНП "Вінницький регіональний клінічний лікувально-діагностичний центр серцево-судинної патології"</t>
  </si>
  <si>
    <t>* субвенція з обласного бюджету для здійснення компенсаційної виплати за навчання учасників бойових дій та їх дітей</t>
  </si>
  <si>
    <t>* субвенція з бюджету Вороновицької селищної територіальної громади для проведення технічного обстеження на предмет оцінки доступності осіб з інвалідністю та інших маломобільних груп населення до вхідної групи та внутрішніх приміщень будівлі терапевтичного та хірургічного відділень №2, КНП «Вінницька клінічна багатопрофільна лікарня» Вінницької міської ради, яка знаходиться за адресою: Вінницька область, смт Вороновиця, вул. Гагаріна, буд.20</t>
  </si>
  <si>
    <t>субвенція з обласного бюджету громадській організації «Футбольний клуб «Нива – Вінниця» для підготовки та участі спортсменів в чемпіонаті України з футболу серед команд другої ліги</t>
  </si>
  <si>
    <t>Субвенція з державного бюджету місцевим бюджетам на реформуваннярегіональних систем охорони здоров’я для здійснення заходів з виконання спільного з Міжнародним банком реконструкції та розвитку проекту «Поліпшення охорони здоров’я на службі у людей»</t>
  </si>
  <si>
    <t>Субвенція з місцевого бюджету на фінансове забезпечення будівництва, реконструкції, ремонту і утримання автомобільних доріг загального користування місцевого значення, вулиць і доріг комунальної власності у населених пунктах за рахунок відповідної субвенції з державного бюджету</t>
  </si>
  <si>
    <t>Інші субвенції з місцевого бюджету:</t>
  </si>
  <si>
    <t>Субвенція з сільського бюджету села Вінницькі Хутори Вінницького району на капітальний ремонт дороги по вул. Войцехівського м.Вінниці</t>
  </si>
  <si>
    <t>21.1.</t>
  </si>
  <si>
    <t>21.2.</t>
  </si>
  <si>
    <t>21.3.</t>
  </si>
  <si>
    <t>21.4.</t>
  </si>
  <si>
    <t>21.5.</t>
  </si>
  <si>
    <t>21.6.</t>
  </si>
  <si>
    <t>21.7.</t>
  </si>
  <si>
    <t>21.8.</t>
  </si>
  <si>
    <t>21.9.</t>
  </si>
  <si>
    <t>Аналіз виконання бюджету Вінницької міської територіальної громади за 2021 рік</t>
  </si>
  <si>
    <t xml:space="preserve">Директор департаменту фінансів </t>
  </si>
  <si>
    <t>Наталія Луценко</t>
  </si>
  <si>
    <t>вик.: Серветник М.М.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</si>
</sst>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.0"/>
    <numFmt numFmtId="165" formatCode="0.000"/>
    <numFmt numFmtId="166" formatCode="#,##0.000"/>
    <numFmt numFmtId="167" formatCode="#,##0.00000"/>
    <numFmt numFmtId="168" formatCode="#,##0.0"/>
    <numFmt numFmtId="169" formatCode="_-* #,##0.00_р_._-;\-* #,##0.00_р_._-;_-* &quot;-&quot;??_р_._-;_-@_-"/>
  </numFmts>
  <fonts count="54" x14ac:knownFonts="1">
    <font>
      <sz val="10"/>
      <name val="Arial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imes New Roman Cyr"/>
      <family val="1"/>
      <charset val="204"/>
    </font>
    <font>
      <b/>
      <sz val="14"/>
      <name val="Times New Roman Cyr"/>
      <family val="1"/>
      <charset val="204"/>
    </font>
    <font>
      <sz val="12"/>
      <name val="Times New Roman Cyr"/>
      <family val="1"/>
      <charset val="204"/>
    </font>
    <font>
      <b/>
      <sz val="12"/>
      <name val="Times New Roman Cyr"/>
      <charset val="204"/>
    </font>
    <font>
      <i/>
      <sz val="12"/>
      <name val="Times New Roman Cyr"/>
      <charset val="204"/>
    </font>
    <font>
      <sz val="14"/>
      <name val="Times New Roman Cyr"/>
      <family val="1"/>
      <charset val="204"/>
    </font>
    <font>
      <sz val="11"/>
      <name val="Times New Roman Cyr"/>
      <family val="1"/>
      <charset val="204"/>
    </font>
    <font>
      <b/>
      <sz val="14"/>
      <name val="Times New Roman Cyr"/>
      <charset val="204"/>
    </font>
    <font>
      <b/>
      <sz val="16"/>
      <name val="Times New Roman Cyr"/>
      <family val="1"/>
      <charset val="204"/>
    </font>
    <font>
      <sz val="16"/>
      <name val="Times New Roman Cyr"/>
      <family val="1"/>
      <charset val="204"/>
    </font>
    <font>
      <b/>
      <sz val="16"/>
      <name val="Times New Roman Cyr"/>
      <charset val="204"/>
    </font>
    <font>
      <sz val="16"/>
      <name val="Times New Roman Cyr"/>
      <charset val="204"/>
    </font>
    <font>
      <i/>
      <sz val="16"/>
      <name val="Times New Roman Cyr"/>
      <charset val="204"/>
    </font>
    <font>
      <sz val="16"/>
      <name val="Times New Roman"/>
      <family val="1"/>
      <charset val="204"/>
    </font>
    <font>
      <b/>
      <sz val="24"/>
      <name val="Times New Roman Cyr"/>
      <family val="1"/>
      <charset val="204"/>
    </font>
    <font>
      <b/>
      <sz val="24"/>
      <name val="Times New Roman Cyr"/>
      <charset val="204"/>
    </font>
    <font>
      <sz val="24"/>
      <name val="Times New Roman Cyr"/>
      <charset val="204"/>
    </font>
    <font>
      <sz val="11"/>
      <name val="Times New Roman Cyr"/>
      <charset val="204"/>
    </font>
    <font>
      <b/>
      <sz val="16"/>
      <name val="Times New Roman"/>
      <family val="1"/>
      <charset val="204"/>
    </font>
    <font>
      <b/>
      <i/>
      <sz val="16"/>
      <name val="Times New Roman"/>
      <family val="1"/>
      <charset val="204"/>
    </font>
    <font>
      <i/>
      <sz val="16"/>
      <name val="Times New Roman"/>
      <family val="1"/>
      <charset val="204"/>
    </font>
    <font>
      <b/>
      <sz val="15"/>
      <name val="Times New Roman"/>
      <family val="1"/>
      <charset val="204"/>
    </font>
    <font>
      <sz val="15"/>
      <name val="Times New Roman"/>
      <family val="1"/>
      <charset val="204"/>
    </font>
    <font>
      <i/>
      <sz val="15"/>
      <name val="Times New Roman"/>
      <family val="1"/>
      <charset val="204"/>
    </font>
    <font>
      <sz val="12"/>
      <name val="Times New Roman Cyr"/>
      <charset val="204"/>
    </font>
    <font>
      <b/>
      <sz val="12"/>
      <name val="Times New Roman Cyr"/>
      <family val="1"/>
      <charset val="204"/>
    </font>
    <font>
      <i/>
      <sz val="16"/>
      <name val="Times New Roman Cyr"/>
      <family val="1"/>
      <charset val="204"/>
    </font>
    <font>
      <i/>
      <sz val="12"/>
      <name val="Times New Roman Cyr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8"/>
      <name val="Times New Roman Cyr"/>
      <charset val="204"/>
    </font>
    <font>
      <b/>
      <sz val="18"/>
      <name val="Times New Roman"/>
      <family val="1"/>
      <charset val="204"/>
    </font>
    <font>
      <b/>
      <sz val="18"/>
      <name val="Times New Roman Cyr"/>
      <family val="1"/>
      <charset val="204"/>
    </font>
    <font>
      <sz val="10"/>
      <name val="Arial"/>
      <family val="2"/>
      <charset val="204"/>
    </font>
    <font>
      <sz val="15"/>
      <name val="Times New Roman Cyr"/>
      <charset val="204"/>
    </font>
    <font>
      <b/>
      <i/>
      <sz val="18"/>
      <name val="Times New Roman"/>
      <family val="1"/>
      <charset val="204"/>
    </font>
    <font>
      <b/>
      <sz val="17"/>
      <name val="Times New Roman"/>
      <family val="1"/>
      <charset val="204"/>
    </font>
    <font>
      <sz val="18"/>
      <name val="Times New Roman"/>
      <family val="1"/>
      <charset val="204"/>
    </font>
    <font>
      <i/>
      <sz val="18"/>
      <name val="Times New Roman"/>
      <family val="1"/>
      <charset val="204"/>
    </font>
    <font>
      <i/>
      <sz val="15"/>
      <name val="Times New Roman Cyr"/>
      <charset val="204"/>
    </font>
    <font>
      <i/>
      <sz val="14"/>
      <name val="Times New Roman Cyr"/>
      <charset val="204"/>
    </font>
    <font>
      <b/>
      <sz val="19"/>
      <name val="Times New Roman Cyr"/>
      <charset val="204"/>
    </font>
    <font>
      <b/>
      <sz val="19"/>
      <name val="Times New Roman"/>
      <family val="1"/>
      <charset val="204"/>
    </font>
    <font>
      <i/>
      <sz val="18"/>
      <name val="Times New Roman Cyr"/>
      <charset val="204"/>
    </font>
    <font>
      <sz val="15.5"/>
      <name val="Times New Roman"/>
      <family val="1"/>
      <charset val="204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8"/>
      <name val="Arial"/>
      <family val="2"/>
      <charset val="204"/>
    </font>
    <font>
      <b/>
      <sz val="15"/>
      <name val="Times New Roman Cyr"/>
      <charset val="204"/>
    </font>
    <font>
      <b/>
      <i/>
      <sz val="18"/>
      <name val="Times New Roman Cyr"/>
      <charset val="204"/>
    </font>
    <font>
      <b/>
      <sz val="20"/>
      <name val="Times New Roman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3">
    <xf numFmtId="0" fontId="0" fillId="0" borderId="0"/>
    <xf numFmtId="0" fontId="2" fillId="0" borderId="0"/>
    <xf numFmtId="0" fontId="2" fillId="0" borderId="0"/>
    <xf numFmtId="0" fontId="36" fillId="0" borderId="0"/>
    <xf numFmtId="0" fontId="48" fillId="0" borderId="0"/>
    <xf numFmtId="0" fontId="2" fillId="0" borderId="0"/>
    <xf numFmtId="0" fontId="36" fillId="0" borderId="0"/>
    <xf numFmtId="0" fontId="36" fillId="0" borderId="0"/>
    <xf numFmtId="169" fontId="2" fillId="0" borderId="0" applyFont="0" applyFill="0" applyBorder="0" applyAlignment="0" applyProtection="0"/>
    <xf numFmtId="0" fontId="36" fillId="0" borderId="0"/>
    <xf numFmtId="0" fontId="36" fillId="0" borderId="0"/>
    <xf numFmtId="0" fontId="49" fillId="0" borderId="0"/>
    <xf numFmtId="0" fontId="49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6" fillId="0" borderId="0"/>
    <xf numFmtId="0" fontId="50" fillId="0" borderId="0"/>
    <xf numFmtId="0" fontId="1" fillId="0" borderId="0"/>
    <xf numFmtId="0" fontId="36" fillId="0" borderId="0"/>
    <xf numFmtId="0" fontId="36" fillId="0" borderId="0"/>
    <xf numFmtId="0" fontId="49" fillId="0" borderId="0"/>
  </cellStyleXfs>
  <cellXfs count="213">
    <xf numFmtId="0" fontId="0" fillId="0" borderId="0" xfId="0"/>
    <xf numFmtId="0" fontId="3" fillId="0" borderId="0" xfId="2" applyFont="1" applyFill="1" applyBorder="1" applyAlignment="1">
      <alignment horizontal="center" vertical="center" wrapText="1"/>
    </xf>
    <xf numFmtId="0" fontId="8" fillId="0" borderId="0" xfId="2" applyFont="1" applyFill="1" applyBorder="1"/>
    <xf numFmtId="0" fontId="8" fillId="0" borderId="0" xfId="2" applyFont="1" applyFill="1" applyBorder="1" applyAlignment="1">
      <alignment horizontal="center" vertical="center" wrapText="1"/>
    </xf>
    <xf numFmtId="49" fontId="7" fillId="0" borderId="0" xfId="1" applyNumberFormat="1" applyFont="1" applyFill="1" applyBorder="1" applyAlignment="1">
      <alignment horizontal="center" vertical="center"/>
    </xf>
    <xf numFmtId="0" fontId="7" fillId="0" borderId="0" xfId="1" applyFont="1" applyFill="1" applyBorder="1"/>
    <xf numFmtId="165" fontId="21" fillId="0" borderId="1" xfId="1" applyNumberFormat="1" applyFont="1" applyFill="1" applyBorder="1" applyAlignment="1">
      <alignment horizontal="center" vertical="center" wrapText="1"/>
    </xf>
    <xf numFmtId="0" fontId="5" fillId="0" borderId="0" xfId="1" applyFont="1" applyFill="1" applyBorder="1"/>
    <xf numFmtId="49" fontId="22" fillId="0" borderId="1" xfId="1" applyNumberFormat="1" applyFont="1" applyFill="1" applyBorder="1" applyAlignment="1">
      <alignment horizontal="center" vertical="center" wrapText="1"/>
    </xf>
    <xf numFmtId="0" fontId="13" fillId="0" borderId="1" xfId="1" applyFont="1" applyFill="1" applyBorder="1" applyAlignment="1">
      <alignment horizontal="center" vertical="center"/>
    </xf>
    <xf numFmtId="0" fontId="6" fillId="0" borderId="0" xfId="1" applyFont="1" applyFill="1" applyBorder="1"/>
    <xf numFmtId="0" fontId="15" fillId="0" borderId="1" xfId="1" applyFont="1" applyFill="1" applyBorder="1" applyAlignment="1">
      <alignment horizontal="center" vertical="center"/>
    </xf>
    <xf numFmtId="0" fontId="10" fillId="0" borderId="0" xfId="1" applyFont="1" applyFill="1" applyBorder="1"/>
    <xf numFmtId="0" fontId="24" fillId="0" borderId="1" xfId="1" applyFont="1" applyFill="1" applyBorder="1" applyAlignment="1">
      <alignment horizontal="left" vertical="center" wrapText="1"/>
    </xf>
    <xf numFmtId="49" fontId="23" fillId="0" borderId="1" xfId="1" applyNumberFormat="1" applyFont="1" applyFill="1" applyBorder="1" applyAlignment="1">
      <alignment horizontal="center" vertical="center" wrapText="1"/>
    </xf>
    <xf numFmtId="0" fontId="19" fillId="0" borderId="0" xfId="2" applyFont="1" applyFill="1"/>
    <xf numFmtId="0" fontId="3" fillId="0" borderId="0" xfId="2" applyFont="1" applyFill="1"/>
    <xf numFmtId="0" fontId="4" fillId="0" borderId="0" xfId="2" applyFont="1" applyFill="1" applyBorder="1" applyAlignment="1">
      <alignment horizontal="center" vertical="center" wrapText="1"/>
    </xf>
    <xf numFmtId="49" fontId="21" fillId="0" borderId="1" xfId="1" applyNumberFormat="1" applyFont="1" applyFill="1" applyBorder="1" applyAlignment="1">
      <alignment horizontal="center" vertical="center" wrapText="1"/>
    </xf>
    <xf numFmtId="49" fontId="15" fillId="0" borderId="1" xfId="1" applyNumberFormat="1" applyFont="1" applyFill="1" applyBorder="1" applyAlignment="1">
      <alignment horizontal="center" vertical="center"/>
    </xf>
    <xf numFmtId="0" fontId="8" fillId="0" borderId="0" xfId="2" applyFont="1" applyFill="1"/>
    <xf numFmtId="0" fontId="5" fillId="0" borderId="0" xfId="2" applyFont="1" applyFill="1"/>
    <xf numFmtId="0" fontId="20" fillId="0" borderId="0" xfId="2" applyFont="1" applyFill="1"/>
    <xf numFmtId="0" fontId="13" fillId="0" borderId="0" xfId="1" applyFont="1" applyFill="1" applyBorder="1"/>
    <xf numFmtId="49" fontId="14" fillId="0" borderId="1" xfId="2" applyNumberFormat="1" applyFont="1" applyFill="1" applyBorder="1" applyAlignment="1">
      <alignment horizontal="center" vertical="center" wrapText="1"/>
    </xf>
    <xf numFmtId="0" fontId="11" fillId="0" borderId="1" xfId="1" applyFont="1" applyFill="1" applyBorder="1" applyAlignment="1">
      <alignment horizontal="center" vertical="center"/>
    </xf>
    <xf numFmtId="0" fontId="28" fillId="0" borderId="0" xfId="1" applyFont="1" applyFill="1" applyBorder="1"/>
    <xf numFmtId="0" fontId="13" fillId="0" borderId="0" xfId="1" applyFont="1" applyFill="1" applyBorder="1" applyAlignment="1">
      <alignment horizontal="center" vertical="center"/>
    </xf>
    <xf numFmtId="0" fontId="24" fillId="0" borderId="0" xfId="1" applyFont="1" applyFill="1" applyBorder="1" applyAlignment="1">
      <alignment horizontal="left" vertical="center" wrapText="1"/>
    </xf>
    <xf numFmtId="49" fontId="21" fillId="0" borderId="0" xfId="1" applyNumberFormat="1" applyFont="1" applyFill="1" applyBorder="1" applyAlignment="1">
      <alignment horizontal="center" vertical="center" wrapText="1"/>
    </xf>
    <xf numFmtId="0" fontId="16" fillId="0" borderId="1" xfId="1" applyNumberFormat="1" applyFont="1" applyFill="1" applyBorder="1" applyAlignment="1">
      <alignment horizontal="left" vertical="center" wrapText="1"/>
    </xf>
    <xf numFmtId="0" fontId="30" fillId="0" borderId="0" xfId="1" applyFont="1" applyFill="1" applyBorder="1"/>
    <xf numFmtId="166" fontId="5" fillId="0" borderId="0" xfId="1" applyNumberFormat="1" applyFont="1" applyFill="1" applyBorder="1"/>
    <xf numFmtId="49" fontId="26" fillId="0" borderId="1" xfId="1" applyNumberFormat="1" applyFont="1" applyFill="1" applyBorder="1" applyAlignment="1">
      <alignment horizontal="left" vertical="center" wrapText="1"/>
    </xf>
    <xf numFmtId="164" fontId="5" fillId="0" borderId="0" xfId="1" applyNumberFormat="1" applyFont="1" applyFill="1" applyBorder="1"/>
    <xf numFmtId="0" fontId="35" fillId="2" borderId="1" xfId="1" applyFont="1" applyFill="1" applyBorder="1" applyAlignment="1">
      <alignment horizontal="center" vertical="center"/>
    </xf>
    <xf numFmtId="49" fontId="34" fillId="2" borderId="1" xfId="1" applyNumberFormat="1" applyFont="1" applyFill="1" applyBorder="1" applyAlignment="1">
      <alignment horizontal="center" vertical="center" wrapText="1"/>
    </xf>
    <xf numFmtId="0" fontId="35" fillId="2" borderId="0" xfId="1" applyFont="1" applyFill="1" applyBorder="1"/>
    <xf numFmtId="0" fontId="33" fillId="0" borderId="1" xfId="1" applyFont="1" applyFill="1" applyBorder="1" applyAlignment="1">
      <alignment horizontal="center" vertical="center"/>
    </xf>
    <xf numFmtId="0" fontId="34" fillId="0" borderId="1" xfId="1" applyFont="1" applyFill="1" applyBorder="1" applyAlignment="1">
      <alignment horizontal="left" vertical="center" wrapText="1"/>
    </xf>
    <xf numFmtId="49" fontId="34" fillId="0" borderId="1" xfId="1" applyNumberFormat="1" applyFont="1" applyFill="1" applyBorder="1" applyAlignment="1">
      <alignment horizontal="center" vertical="center" wrapText="1"/>
    </xf>
    <xf numFmtId="0" fontId="33" fillId="0" borderId="0" xfId="1" applyFont="1" applyFill="1" applyBorder="1"/>
    <xf numFmtId="0" fontId="34" fillId="0" borderId="1" xfId="1" applyFont="1" applyFill="1" applyBorder="1" applyAlignment="1">
      <alignment horizontal="center" vertical="center" wrapText="1"/>
    </xf>
    <xf numFmtId="0" fontId="33" fillId="0" borderId="1" xfId="1" applyFont="1" applyFill="1" applyBorder="1" applyAlignment="1">
      <alignment vertical="center"/>
    </xf>
    <xf numFmtId="0" fontId="12" fillId="0" borderId="0" xfId="1" applyFont="1" applyFill="1" applyBorder="1"/>
    <xf numFmtId="166" fontId="13" fillId="0" borderId="0" xfId="1" applyNumberFormat="1" applyFont="1" applyFill="1" applyBorder="1"/>
    <xf numFmtId="0" fontId="15" fillId="0" borderId="0" xfId="1" applyFont="1" applyFill="1" applyBorder="1"/>
    <xf numFmtId="0" fontId="29" fillId="0" borderId="0" xfId="1" applyFont="1" applyFill="1" applyBorder="1"/>
    <xf numFmtId="0" fontId="35" fillId="0" borderId="1" xfId="1" applyFont="1" applyFill="1" applyBorder="1" applyAlignment="1">
      <alignment horizontal="center" vertical="center"/>
    </xf>
    <xf numFmtId="0" fontId="35" fillId="0" borderId="0" xfId="1" applyFont="1" applyFill="1" applyBorder="1"/>
    <xf numFmtId="49" fontId="15" fillId="0" borderId="1" xfId="2" applyNumberFormat="1" applyFont="1" applyFill="1" applyBorder="1" applyAlignment="1">
      <alignment horizontal="center" vertical="center" wrapText="1"/>
    </xf>
    <xf numFmtId="0" fontId="9" fillId="0" borderId="0" xfId="3" applyFont="1" applyFill="1" applyBorder="1" applyAlignment="1">
      <alignment wrapText="1"/>
    </xf>
    <xf numFmtId="1" fontId="12" fillId="0" borderId="1" xfId="3" applyNumberFormat="1" applyFont="1" applyFill="1" applyBorder="1" applyAlignment="1">
      <alignment horizontal="center" vertical="center" wrapText="1"/>
    </xf>
    <xf numFmtId="1" fontId="3" fillId="0" borderId="0" xfId="3" applyNumberFormat="1" applyFont="1" applyFill="1" applyBorder="1" applyAlignment="1">
      <alignment horizontal="center" vertical="center" wrapText="1"/>
    </xf>
    <xf numFmtId="1" fontId="3" fillId="0" borderId="0" xfId="3" applyNumberFormat="1" applyFont="1" applyFill="1" applyBorder="1"/>
    <xf numFmtId="0" fontId="3" fillId="0" borderId="0" xfId="3" applyFont="1" applyFill="1" applyBorder="1"/>
    <xf numFmtId="166" fontId="5" fillId="0" borderId="0" xfId="3" applyNumberFormat="1" applyFont="1" applyFill="1" applyBorder="1"/>
    <xf numFmtId="164" fontId="5" fillId="0" borderId="0" xfId="3" applyNumberFormat="1" applyFont="1" applyFill="1" applyBorder="1"/>
    <xf numFmtId="0" fontId="29" fillId="0" borderId="1" xfId="3" applyFont="1" applyFill="1" applyBorder="1" applyAlignment="1">
      <alignment horizontal="center" vertical="center"/>
    </xf>
    <xf numFmtId="166" fontId="30" fillId="0" borderId="0" xfId="3" applyNumberFormat="1" applyFont="1" applyFill="1" applyBorder="1"/>
    <xf numFmtId="164" fontId="30" fillId="0" borderId="0" xfId="3" applyNumberFormat="1" applyFont="1" applyFill="1" applyBorder="1"/>
    <xf numFmtId="0" fontId="30" fillId="0" borderId="0" xfId="3" applyFont="1" applyFill="1" applyBorder="1"/>
    <xf numFmtId="0" fontId="25" fillId="0" borderId="1" xfId="3" applyFont="1" applyFill="1" applyBorder="1" applyAlignment="1">
      <alignment horizontal="left" vertical="center" wrapText="1"/>
    </xf>
    <xf numFmtId="0" fontId="33" fillId="2" borderId="1" xfId="3" applyFont="1" applyFill="1" applyBorder="1" applyAlignment="1">
      <alignment horizontal="center" vertical="center"/>
    </xf>
    <xf numFmtId="0" fontId="34" fillId="2" borderId="1" xfId="3" applyFont="1" applyFill="1" applyBorder="1" applyAlignment="1">
      <alignment horizontal="center" vertical="center" wrapText="1"/>
    </xf>
    <xf numFmtId="166" fontId="34" fillId="2" borderId="1" xfId="3" applyNumberFormat="1" applyFont="1" applyFill="1" applyBorder="1" applyAlignment="1">
      <alignment horizontal="center" vertical="center"/>
    </xf>
    <xf numFmtId="164" fontId="34" fillId="2" borderId="1" xfId="3" applyNumberFormat="1" applyFont="1" applyFill="1" applyBorder="1" applyAlignment="1">
      <alignment horizontal="center" vertical="center"/>
    </xf>
    <xf numFmtId="0" fontId="33" fillId="2" borderId="0" xfId="3" applyFont="1" applyFill="1" applyBorder="1"/>
    <xf numFmtId="166" fontId="33" fillId="2" borderId="0" xfId="3" applyNumberFormat="1" applyFont="1" applyFill="1" applyBorder="1"/>
    <xf numFmtId="0" fontId="34" fillId="0" borderId="1" xfId="3" applyFont="1" applyFill="1" applyBorder="1" applyAlignment="1">
      <alignment horizontal="center" vertical="center" wrapText="1"/>
    </xf>
    <xf numFmtId="166" fontId="34" fillId="0" borderId="1" xfId="3" applyNumberFormat="1" applyFont="1" applyFill="1" applyBorder="1" applyAlignment="1">
      <alignment horizontal="center" vertical="center"/>
    </xf>
    <xf numFmtId="164" fontId="34" fillId="0" borderId="1" xfId="3" applyNumberFormat="1" applyFont="1" applyFill="1" applyBorder="1" applyAlignment="1">
      <alignment horizontal="center" vertical="center"/>
    </xf>
    <xf numFmtId="0" fontId="32" fillId="0" borderId="1" xfId="3" applyFont="1" applyFill="1" applyBorder="1" applyAlignment="1">
      <alignment horizontal="left" vertical="center" wrapText="1"/>
    </xf>
    <xf numFmtId="166" fontId="21" fillId="0" borderId="0" xfId="3" applyNumberFormat="1" applyFont="1" applyFill="1" applyBorder="1" applyAlignment="1">
      <alignment horizontal="center" vertical="center"/>
    </xf>
    <xf numFmtId="164" fontId="21" fillId="0" borderId="0" xfId="3" applyNumberFormat="1" applyFont="1" applyFill="1" applyBorder="1" applyAlignment="1">
      <alignment horizontal="center" vertical="center"/>
    </xf>
    <xf numFmtId="165" fontId="7" fillId="0" borderId="0" xfId="3" applyNumberFormat="1" applyFont="1" applyFill="1" applyBorder="1" applyAlignment="1">
      <alignment horizontal="center" vertical="center"/>
    </xf>
    <xf numFmtId="164" fontId="7" fillId="0" borderId="0" xfId="3" applyNumberFormat="1" applyFont="1" applyFill="1" applyBorder="1" applyAlignment="1">
      <alignment horizontal="center" vertical="center"/>
    </xf>
    <xf numFmtId="166" fontId="4" fillId="0" borderId="0" xfId="2" applyNumberFormat="1" applyFont="1" applyFill="1" applyBorder="1" applyAlignment="1">
      <alignment horizontal="center"/>
    </xf>
    <xf numFmtId="49" fontId="37" fillId="0" borderId="1" xfId="2" applyNumberFormat="1" applyFont="1" applyFill="1" applyBorder="1" applyAlignment="1">
      <alignment horizontal="center" vertical="center" wrapText="1"/>
    </xf>
    <xf numFmtId="49" fontId="16" fillId="0" borderId="1" xfId="0" applyNumberFormat="1" applyFont="1" applyFill="1" applyBorder="1" applyAlignment="1">
      <alignment horizontal="center" vertical="center" wrapText="1"/>
    </xf>
    <xf numFmtId="0" fontId="26" fillId="0" borderId="1" xfId="1" applyFont="1" applyFill="1" applyBorder="1" applyAlignment="1">
      <alignment horizontal="left" vertical="center" wrapText="1"/>
    </xf>
    <xf numFmtId="166" fontId="38" fillId="0" borderId="1" xfId="3" applyNumberFormat="1" applyFont="1" applyFill="1" applyBorder="1" applyAlignment="1">
      <alignment horizontal="center" vertical="center" wrapText="1"/>
    </xf>
    <xf numFmtId="0" fontId="37" fillId="0" borderId="1" xfId="2" applyFont="1" applyFill="1" applyBorder="1" applyAlignment="1">
      <alignment horizontal="left" vertical="center" wrapText="1"/>
    </xf>
    <xf numFmtId="0" fontId="27" fillId="0" borderId="0" xfId="3" applyFont="1" applyFill="1" applyBorder="1"/>
    <xf numFmtId="14" fontId="29" fillId="0" borderId="1" xfId="3" applyNumberFormat="1" applyFont="1" applyFill="1" applyBorder="1" applyAlignment="1">
      <alignment horizontal="center" vertical="center"/>
    </xf>
    <xf numFmtId="0" fontId="7" fillId="0" borderId="0" xfId="3" applyFont="1" applyFill="1" applyBorder="1"/>
    <xf numFmtId="166" fontId="7" fillId="0" borderId="0" xfId="3" applyNumberFormat="1" applyFont="1" applyFill="1" applyBorder="1"/>
    <xf numFmtId="164" fontId="7" fillId="0" borderId="0" xfId="3" applyNumberFormat="1" applyFont="1" applyFill="1" applyBorder="1"/>
    <xf numFmtId="49" fontId="23" fillId="0" borderId="1" xfId="3" applyNumberFormat="1" applyFont="1" applyFill="1" applyBorder="1" applyAlignment="1">
      <alignment horizontal="center" vertical="center" shrinkToFit="1"/>
    </xf>
    <xf numFmtId="0" fontId="7" fillId="0" borderId="0" xfId="3" applyFont="1" applyFill="1" applyBorder="1" applyAlignment="1">
      <alignment horizontal="center"/>
    </xf>
    <xf numFmtId="166" fontId="32" fillId="0" borderId="0" xfId="1" applyNumberFormat="1" applyFont="1" applyFill="1" applyBorder="1" applyAlignment="1">
      <alignment horizontal="center" vertical="center" wrapText="1"/>
    </xf>
    <xf numFmtId="0" fontId="39" fillId="0" borderId="1" xfId="1" applyFont="1" applyFill="1" applyBorder="1" applyAlignment="1">
      <alignment horizontal="center" vertical="center" wrapText="1"/>
    </xf>
    <xf numFmtId="49" fontId="25" fillId="0" borderId="1" xfId="1" applyNumberFormat="1" applyFont="1" applyFill="1" applyBorder="1" applyAlignment="1">
      <alignment horizontal="left" vertical="center" wrapText="1"/>
    </xf>
    <xf numFmtId="166" fontId="41" fillId="0" borderId="1" xfId="3" applyNumberFormat="1" applyFont="1" applyFill="1" applyBorder="1" applyAlignment="1">
      <alignment horizontal="center" vertical="center"/>
    </xf>
    <xf numFmtId="49" fontId="26" fillId="0" borderId="1" xfId="3" applyNumberFormat="1" applyFont="1" applyFill="1" applyBorder="1" applyAlignment="1">
      <alignment horizontal="left" vertical="center" wrapText="1"/>
    </xf>
    <xf numFmtId="49" fontId="42" fillId="0" borderId="1" xfId="2" applyNumberFormat="1" applyFont="1" applyFill="1" applyBorder="1" applyAlignment="1">
      <alignment horizontal="left" vertical="center" wrapText="1"/>
    </xf>
    <xf numFmtId="0" fontId="42" fillId="0" borderId="1" xfId="2" applyNumberFormat="1" applyFont="1" applyFill="1" applyBorder="1" applyAlignment="1">
      <alignment horizontal="left" vertical="center" wrapText="1"/>
    </xf>
    <xf numFmtId="166" fontId="19" fillId="0" borderId="0" xfId="2" applyNumberFormat="1" applyFont="1" applyFill="1"/>
    <xf numFmtId="166" fontId="34" fillId="0" borderId="0" xfId="1" applyNumberFormat="1" applyFont="1" applyFill="1" applyBorder="1" applyAlignment="1">
      <alignment horizontal="center" vertical="center" wrapText="1"/>
    </xf>
    <xf numFmtId="0" fontId="31" fillId="0" borderId="0" xfId="3" applyFont="1" applyFill="1" applyBorder="1"/>
    <xf numFmtId="0" fontId="43" fillId="0" borderId="1" xfId="3" applyNumberFormat="1" applyFont="1" applyFill="1" applyBorder="1" applyAlignment="1">
      <alignment horizontal="left" vertical="center" wrapText="1" shrinkToFit="1"/>
    </xf>
    <xf numFmtId="0" fontId="32" fillId="0" borderId="1" xfId="3" applyFont="1" applyFill="1" applyBorder="1" applyAlignment="1">
      <alignment horizontal="center" vertical="center" wrapText="1"/>
    </xf>
    <xf numFmtId="166" fontId="27" fillId="0" borderId="0" xfId="3" applyNumberFormat="1" applyFont="1" applyFill="1" applyBorder="1"/>
    <xf numFmtId="0" fontId="44" fillId="2" borderId="1" xfId="1" applyFont="1" applyFill="1" applyBorder="1" applyAlignment="1">
      <alignment horizontal="center" vertical="center"/>
    </xf>
    <xf numFmtId="0" fontId="45" fillId="2" borderId="1" xfId="1" applyFont="1" applyFill="1" applyBorder="1" applyAlignment="1">
      <alignment horizontal="center" vertical="center" wrapText="1"/>
    </xf>
    <xf numFmtId="165" fontId="45" fillId="2" borderId="1" xfId="1" applyNumberFormat="1" applyFont="1" applyFill="1" applyBorder="1" applyAlignment="1">
      <alignment horizontal="center" vertical="center" wrapText="1"/>
    </xf>
    <xf numFmtId="166" fontId="45" fillId="2" borderId="1" xfId="1" applyNumberFormat="1" applyFont="1" applyFill="1" applyBorder="1" applyAlignment="1">
      <alignment horizontal="center" vertical="center" wrapText="1"/>
    </xf>
    <xf numFmtId="166" fontId="45" fillId="2" borderId="1" xfId="3" applyNumberFormat="1" applyFont="1" applyFill="1" applyBorder="1" applyAlignment="1">
      <alignment horizontal="center" vertical="center"/>
    </xf>
    <xf numFmtId="164" fontId="45" fillId="2" borderId="1" xfId="3" applyNumberFormat="1" applyFont="1" applyFill="1" applyBorder="1" applyAlignment="1">
      <alignment horizontal="center" vertical="center"/>
    </xf>
    <xf numFmtId="166" fontId="44" fillId="2" borderId="0" xfId="1" applyNumberFormat="1" applyFont="1" applyFill="1" applyBorder="1"/>
    <xf numFmtId="0" fontId="44" fillId="2" borderId="0" xfId="1" applyFont="1" applyFill="1" applyBorder="1"/>
    <xf numFmtId="49" fontId="45" fillId="2" borderId="1" xfId="1" applyNumberFormat="1" applyFont="1" applyFill="1" applyBorder="1" applyAlignment="1">
      <alignment horizontal="center" vertical="center" wrapText="1"/>
    </xf>
    <xf numFmtId="0" fontId="44" fillId="0" borderId="1" xfId="1" applyFont="1" applyFill="1" applyBorder="1" applyAlignment="1">
      <alignment horizontal="center" vertical="center"/>
    </xf>
    <xf numFmtId="0" fontId="45" fillId="0" borderId="1" xfId="1" applyFont="1" applyFill="1" applyBorder="1" applyAlignment="1">
      <alignment horizontal="center" vertical="center" wrapText="1"/>
    </xf>
    <xf numFmtId="49" fontId="45" fillId="0" borderId="1" xfId="1" applyNumberFormat="1" applyFont="1" applyFill="1" applyBorder="1" applyAlignment="1">
      <alignment horizontal="center" vertical="center" wrapText="1"/>
    </xf>
    <xf numFmtId="166" fontId="45" fillId="0" borderId="1" xfId="1" applyNumberFormat="1" applyFont="1" applyFill="1" applyBorder="1" applyAlignment="1">
      <alignment horizontal="center" vertical="center" wrapText="1"/>
    </xf>
    <xf numFmtId="166" fontId="45" fillId="0" borderId="1" xfId="3" applyNumberFormat="1" applyFont="1" applyFill="1" applyBorder="1" applyAlignment="1">
      <alignment horizontal="center" vertical="center"/>
    </xf>
    <xf numFmtId="164" fontId="45" fillId="0" borderId="1" xfId="3" applyNumberFormat="1" applyFont="1" applyFill="1" applyBorder="1" applyAlignment="1">
      <alignment horizontal="center" vertical="center"/>
    </xf>
    <xf numFmtId="0" fontId="44" fillId="0" borderId="0" xfId="1" applyFont="1" applyFill="1" applyBorder="1"/>
    <xf numFmtId="0" fontId="44" fillId="2" borderId="1" xfId="1" applyFont="1" applyFill="1" applyBorder="1" applyAlignment="1">
      <alignment vertical="center"/>
    </xf>
    <xf numFmtId="0" fontId="44" fillId="0" borderId="1" xfId="1" applyFont="1" applyFill="1" applyBorder="1" applyAlignment="1">
      <alignment vertical="center"/>
    </xf>
    <xf numFmtId="0" fontId="45" fillId="0" borderId="1" xfId="1" applyFont="1" applyFill="1" applyBorder="1" applyAlignment="1">
      <alignment horizontal="left" vertical="center" wrapText="1"/>
    </xf>
    <xf numFmtId="166" fontId="21" fillId="0" borderId="1" xfId="3" applyNumberFormat="1" applyFont="1" applyFill="1" applyBorder="1" applyAlignment="1">
      <alignment horizontal="center" vertical="center"/>
    </xf>
    <xf numFmtId="164" fontId="21" fillId="0" borderId="1" xfId="3" applyNumberFormat="1" applyFont="1" applyFill="1" applyBorder="1" applyAlignment="1">
      <alignment horizontal="center" vertical="center"/>
    </xf>
    <xf numFmtId="49" fontId="46" fillId="0" borderId="1" xfId="1" applyNumberFormat="1" applyFont="1" applyFill="1" applyBorder="1" applyAlignment="1">
      <alignment horizontal="center" vertical="center"/>
    </xf>
    <xf numFmtId="49" fontId="41" fillId="0" borderId="1" xfId="1" applyNumberFormat="1" applyFont="1" applyFill="1" applyBorder="1" applyAlignment="1">
      <alignment horizontal="center" vertical="center" wrapText="1"/>
    </xf>
    <xf numFmtId="0" fontId="46" fillId="0" borderId="0" xfId="1" applyFont="1" applyFill="1" applyBorder="1"/>
    <xf numFmtId="49" fontId="42" fillId="0" borderId="1" xfId="3" applyNumberFormat="1" applyFont="1" applyFill="1" applyBorder="1" applyAlignment="1">
      <alignment horizontal="left" vertical="center" wrapText="1"/>
    </xf>
    <xf numFmtId="0" fontId="26" fillId="0" borderId="1" xfId="3" applyFont="1" applyFill="1" applyBorder="1" applyAlignment="1">
      <alignment horizontal="left" vertical="center" wrapText="1"/>
    </xf>
    <xf numFmtId="0" fontId="22" fillId="0" borderId="1" xfId="1" applyFont="1" applyFill="1" applyBorder="1" applyAlignment="1">
      <alignment horizontal="center" vertical="center" wrapText="1"/>
    </xf>
    <xf numFmtId="49" fontId="26" fillId="0" borderId="1" xfId="1" applyNumberFormat="1" applyFont="1" applyFill="1" applyBorder="1" applyAlignment="1">
      <alignment horizontal="center" vertical="center" wrapText="1"/>
    </xf>
    <xf numFmtId="0" fontId="47" fillId="0" borderId="1" xfId="3" applyFont="1" applyFill="1" applyBorder="1" applyAlignment="1">
      <alignment horizontal="left" vertical="center" wrapText="1"/>
    </xf>
    <xf numFmtId="164" fontId="27" fillId="0" borderId="0" xfId="3" applyNumberFormat="1" applyFont="1" applyFill="1" applyBorder="1"/>
    <xf numFmtId="49" fontId="16" fillId="0" borderId="1" xfId="1" applyNumberFormat="1" applyFont="1" applyFill="1" applyBorder="1" applyAlignment="1">
      <alignment horizontal="center" vertical="center" wrapText="1"/>
    </xf>
    <xf numFmtId="0" fontId="27" fillId="0" borderId="0" xfId="1" applyFont="1" applyFill="1" applyBorder="1"/>
    <xf numFmtId="0" fontId="29" fillId="0" borderId="1" xfId="1" applyFont="1" applyFill="1" applyBorder="1" applyAlignment="1">
      <alignment horizontal="center" vertical="center"/>
    </xf>
    <xf numFmtId="168" fontId="40" fillId="0" borderId="1" xfId="1" applyNumberFormat="1" applyFont="1" applyFill="1" applyBorder="1" applyAlignment="1">
      <alignment horizontal="center" vertical="center" wrapText="1"/>
    </xf>
    <xf numFmtId="0" fontId="18" fillId="0" borderId="0" xfId="2" applyFont="1" applyFill="1"/>
    <xf numFmtId="166" fontId="34" fillId="2" borderId="1" xfId="1" applyNumberFormat="1" applyFont="1" applyFill="1" applyBorder="1" applyAlignment="1">
      <alignment horizontal="center" vertical="center" wrapText="1"/>
    </xf>
    <xf numFmtId="166" fontId="34" fillId="0" borderId="1" xfId="1" applyNumberFormat="1" applyFont="1" applyFill="1" applyBorder="1" applyAlignment="1">
      <alignment horizontal="center" vertical="center" wrapText="1"/>
    </xf>
    <xf numFmtId="0" fontId="25" fillId="0" borderId="1" xfId="1" applyFont="1" applyFill="1" applyBorder="1" applyAlignment="1">
      <alignment horizontal="left" vertical="center" wrapText="1"/>
    </xf>
    <xf numFmtId="1" fontId="16" fillId="0" borderId="1" xfId="3" applyNumberFormat="1" applyFont="1" applyFill="1" applyBorder="1" applyAlignment="1">
      <alignment horizontal="center" vertical="center" wrapText="1"/>
    </xf>
    <xf numFmtId="0" fontId="12" fillId="0" borderId="1" xfId="3" applyFont="1" applyFill="1" applyBorder="1" applyAlignment="1">
      <alignment horizontal="center" vertical="center"/>
    </xf>
    <xf numFmtId="49" fontId="16" fillId="0" borderId="1" xfId="3" applyNumberFormat="1" applyFont="1" applyFill="1" applyBorder="1" applyAlignment="1">
      <alignment horizontal="center" vertical="center" wrapText="1"/>
    </xf>
    <xf numFmtId="0" fontId="5" fillId="0" borderId="0" xfId="3" applyFont="1" applyFill="1" applyBorder="1"/>
    <xf numFmtId="166" fontId="34" fillId="2" borderId="1" xfId="3" applyNumberFormat="1" applyFont="1" applyFill="1" applyBorder="1" applyAlignment="1">
      <alignment horizontal="center" vertical="center" wrapText="1"/>
    </xf>
    <xf numFmtId="166" fontId="32" fillId="0" borderId="1" xfId="1" applyNumberFormat="1" applyFont="1" applyFill="1" applyBorder="1" applyAlignment="1">
      <alignment horizontal="center" vertical="center" wrapText="1"/>
    </xf>
    <xf numFmtId="166" fontId="40" fillId="0" borderId="1" xfId="3" applyNumberFormat="1" applyFont="1" applyFill="1" applyBorder="1" applyAlignment="1">
      <alignment horizontal="center" vertical="center" wrapText="1"/>
    </xf>
    <xf numFmtId="166" fontId="40" fillId="0" borderId="1" xfId="3" applyNumberFormat="1" applyFont="1" applyFill="1" applyBorder="1" applyAlignment="1">
      <alignment horizontal="center" vertical="center"/>
    </xf>
    <xf numFmtId="164" fontId="40" fillId="0" borderId="1" xfId="3" applyNumberFormat="1" applyFont="1" applyFill="1" applyBorder="1" applyAlignment="1">
      <alignment horizontal="center" vertical="center"/>
    </xf>
    <xf numFmtId="166" fontId="41" fillId="0" borderId="1" xfId="3" applyNumberFormat="1" applyFont="1" applyFill="1" applyBorder="1" applyAlignment="1">
      <alignment horizontal="center" vertical="center" wrapText="1"/>
    </xf>
    <xf numFmtId="164" fontId="41" fillId="0" borderId="1" xfId="3" applyNumberFormat="1" applyFont="1" applyFill="1" applyBorder="1" applyAlignment="1">
      <alignment horizontal="center" vertical="center"/>
    </xf>
    <xf numFmtId="166" fontId="40" fillId="0" borderId="1" xfId="1" applyNumberFormat="1" applyFont="1" applyFill="1" applyBorder="1" applyAlignment="1">
      <alignment horizontal="center" vertical="center" wrapText="1"/>
    </xf>
    <xf numFmtId="166" fontId="41" fillId="0" borderId="1" xfId="1" applyNumberFormat="1" applyFont="1" applyFill="1" applyBorder="1" applyAlignment="1">
      <alignment horizontal="center" vertical="center" wrapText="1"/>
    </xf>
    <xf numFmtId="49" fontId="38" fillId="0" borderId="1" xfId="1" applyNumberFormat="1" applyFont="1" applyFill="1" applyBorder="1" applyAlignment="1">
      <alignment horizontal="center" vertical="center" wrapText="1"/>
    </xf>
    <xf numFmtId="167" fontId="40" fillId="0" borderId="1" xfId="1" applyNumberFormat="1" applyFont="1" applyFill="1" applyBorder="1" applyAlignment="1">
      <alignment horizontal="center" vertical="center" wrapText="1"/>
    </xf>
    <xf numFmtId="49" fontId="25" fillId="0" borderId="1" xfId="3" applyNumberFormat="1" applyFont="1" applyFill="1" applyBorder="1" applyAlignment="1">
      <alignment horizontal="left" vertical="center" wrapText="1"/>
    </xf>
    <xf numFmtId="0" fontId="25" fillId="0" borderId="1" xfId="3" applyNumberFormat="1" applyFont="1" applyFill="1" applyBorder="1" applyAlignment="1">
      <alignment horizontal="justify" vertical="center" wrapText="1" shrinkToFit="1"/>
    </xf>
    <xf numFmtId="0" fontId="42" fillId="0" borderId="1" xfId="3" applyNumberFormat="1" applyFont="1" applyFill="1" applyBorder="1" applyAlignment="1">
      <alignment horizontal="left" vertical="center" wrapText="1" shrinkToFit="1"/>
    </xf>
    <xf numFmtId="0" fontId="37" fillId="0" borderId="1" xfId="3" applyNumberFormat="1" applyFont="1" applyFill="1" applyBorder="1" applyAlignment="1">
      <alignment horizontal="justify" vertical="center" wrapText="1" shrinkToFit="1"/>
    </xf>
    <xf numFmtId="0" fontId="51" fillId="0" borderId="1" xfId="1" applyFont="1" applyFill="1" applyBorder="1" applyAlignment="1">
      <alignment horizontal="left" vertical="center" wrapText="1"/>
    </xf>
    <xf numFmtId="0" fontId="3" fillId="0" borderId="0" xfId="2" applyFont="1" applyFill="1" applyBorder="1"/>
    <xf numFmtId="0" fontId="4" fillId="0" borderId="0" xfId="2" applyFont="1" applyFill="1" applyBorder="1" applyAlignment="1">
      <alignment horizontal="center"/>
    </xf>
    <xf numFmtId="166" fontId="21" fillId="0" borderId="1" xfId="1" applyNumberFormat="1" applyFont="1" applyFill="1" applyBorder="1" applyAlignment="1">
      <alignment horizontal="center" vertical="center" wrapText="1"/>
    </xf>
    <xf numFmtId="166" fontId="21" fillId="0" borderId="0" xfId="1" applyNumberFormat="1" applyFont="1" applyFill="1" applyBorder="1" applyAlignment="1">
      <alignment horizontal="center" vertical="center" wrapText="1"/>
    </xf>
    <xf numFmtId="0" fontId="19" fillId="0" borderId="0" xfId="2" applyFont="1" applyFill="1" applyBorder="1"/>
    <xf numFmtId="0" fontId="5" fillId="0" borderId="0" xfId="2" applyFont="1" applyFill="1" applyBorder="1"/>
    <xf numFmtId="0" fontId="25" fillId="0" borderId="1" xfId="2" applyFont="1" applyFill="1" applyBorder="1" applyAlignment="1">
      <alignment vertical="center" wrapText="1"/>
    </xf>
    <xf numFmtId="165" fontId="16" fillId="0" borderId="1" xfId="1" applyNumberFormat="1" applyFont="1" applyFill="1" applyBorder="1" applyAlignment="1">
      <alignment horizontal="center" vertical="center" wrapText="1"/>
    </xf>
    <xf numFmtId="0" fontId="5" fillId="0" borderId="0" xfId="2" applyFont="1" applyFill="1" applyBorder="1" applyAlignment="1">
      <alignment horizontal="center" vertical="center" wrapText="1"/>
    </xf>
    <xf numFmtId="0" fontId="13" fillId="0" borderId="1" xfId="1" applyFont="1" applyFill="1" applyBorder="1" applyAlignment="1">
      <alignment vertical="center"/>
    </xf>
    <xf numFmtId="0" fontId="21" fillId="0" borderId="1" xfId="1" applyFont="1" applyFill="1" applyBorder="1" applyAlignment="1">
      <alignment horizontal="center" vertical="center" wrapText="1"/>
    </xf>
    <xf numFmtId="49" fontId="23" fillId="0" borderId="1" xfId="3" applyNumberFormat="1" applyFont="1" applyFill="1" applyBorder="1" applyAlignment="1">
      <alignment horizontal="center" vertical="center" wrapText="1"/>
    </xf>
    <xf numFmtId="0" fontId="12" fillId="0" borderId="1" xfId="1" applyFont="1" applyFill="1" applyBorder="1" applyAlignment="1">
      <alignment horizontal="center" vertical="center"/>
    </xf>
    <xf numFmtId="49" fontId="12" fillId="0" borderId="1" xfId="3" applyNumberFormat="1" applyFont="1" applyFill="1" applyBorder="1" applyAlignment="1">
      <alignment horizontal="center" vertical="center" wrapText="1" shrinkToFit="1"/>
    </xf>
    <xf numFmtId="2" fontId="34" fillId="0" borderId="1" xfId="1" applyNumberFormat="1" applyFont="1" applyFill="1" applyBorder="1" applyAlignment="1">
      <alignment horizontal="center" vertical="center" wrapText="1"/>
    </xf>
    <xf numFmtId="0" fontId="31" fillId="0" borderId="0" xfId="0" applyFont="1" applyFill="1" applyBorder="1"/>
    <xf numFmtId="49" fontId="12" fillId="0" borderId="1" xfId="3" applyNumberFormat="1" applyFont="1" applyFill="1" applyBorder="1" applyAlignment="1">
      <alignment horizontal="center" vertical="center" wrapText="1" shrinkToFit="1"/>
    </xf>
    <xf numFmtId="167" fontId="32" fillId="0" borderId="1" xfId="3" applyNumberFormat="1" applyFont="1" applyFill="1" applyBorder="1"/>
    <xf numFmtId="168" fontId="41" fillId="0" borderId="1" xfId="1" applyNumberFormat="1" applyFont="1" applyFill="1" applyBorder="1" applyAlignment="1">
      <alignment horizontal="center" vertical="center" wrapText="1"/>
    </xf>
    <xf numFmtId="0" fontId="12" fillId="0" borderId="1" xfId="1" applyFont="1" applyFill="1" applyBorder="1" applyAlignment="1">
      <alignment horizontal="center" vertical="center"/>
    </xf>
    <xf numFmtId="49" fontId="12" fillId="0" borderId="1" xfId="3" applyNumberFormat="1" applyFont="1" applyFill="1" applyBorder="1" applyAlignment="1">
      <alignment horizontal="center" vertical="center" wrapText="1" shrinkToFit="1"/>
    </xf>
    <xf numFmtId="0" fontId="12" fillId="0" borderId="1" xfId="1" applyFont="1" applyFill="1" applyBorder="1" applyAlignment="1">
      <alignment horizontal="center" vertical="center"/>
    </xf>
    <xf numFmtId="49" fontId="12" fillId="0" borderId="1" xfId="3" applyNumberFormat="1" applyFont="1" applyFill="1" applyBorder="1" applyAlignment="1">
      <alignment horizontal="center" vertical="center" wrapText="1" shrinkToFit="1"/>
    </xf>
    <xf numFmtId="49" fontId="12" fillId="0" borderId="1" xfId="3" applyNumberFormat="1" applyFont="1" applyFill="1" applyBorder="1" applyAlignment="1">
      <alignment horizontal="center" vertical="center" wrapText="1" shrinkToFit="1"/>
    </xf>
    <xf numFmtId="0" fontId="12" fillId="0" borderId="1" xfId="1" applyFont="1" applyFill="1" applyBorder="1" applyAlignment="1">
      <alignment horizontal="center" vertical="center"/>
    </xf>
    <xf numFmtId="0" fontId="52" fillId="0" borderId="1" xfId="1" applyFont="1" applyFill="1" applyBorder="1" applyAlignment="1">
      <alignment horizontal="center" vertical="center"/>
    </xf>
    <xf numFmtId="0" fontId="38" fillId="0" borderId="1" xfId="1" applyFont="1" applyFill="1" applyBorder="1" applyAlignment="1">
      <alignment horizontal="center" vertical="center" wrapText="1"/>
    </xf>
    <xf numFmtId="166" fontId="38" fillId="0" borderId="1" xfId="1" applyNumberFormat="1" applyFont="1" applyFill="1" applyBorder="1" applyAlignment="1">
      <alignment horizontal="center" vertical="center" wrapText="1"/>
    </xf>
    <xf numFmtId="166" fontId="38" fillId="0" borderId="1" xfId="3" applyNumberFormat="1" applyFont="1" applyFill="1" applyBorder="1" applyAlignment="1">
      <alignment horizontal="center" vertical="center"/>
    </xf>
    <xf numFmtId="164" fontId="38" fillId="0" borderId="1" xfId="3" applyNumberFormat="1" applyFont="1" applyFill="1" applyBorder="1" applyAlignment="1">
      <alignment horizontal="center" vertical="center"/>
    </xf>
    <xf numFmtId="0" fontId="52" fillId="0" borderId="0" xfId="1" applyFont="1" applyFill="1" applyBorder="1"/>
    <xf numFmtId="49" fontId="52" fillId="0" borderId="1" xfId="1" applyNumberFormat="1" applyFont="1" applyFill="1" applyBorder="1" applyAlignment="1">
      <alignment horizontal="center" vertical="center"/>
    </xf>
    <xf numFmtId="0" fontId="5" fillId="0" borderId="0" xfId="2" applyFont="1" applyFill="1" applyBorder="1" applyAlignment="1">
      <alignment horizontal="center" vertical="center" wrapText="1"/>
    </xf>
    <xf numFmtId="0" fontId="12" fillId="0" borderId="1" xfId="1" applyFont="1" applyFill="1" applyBorder="1" applyAlignment="1">
      <alignment horizontal="center" vertical="center"/>
    </xf>
    <xf numFmtId="49" fontId="12" fillId="0" borderId="1" xfId="3" applyNumberFormat="1" applyFont="1" applyFill="1" applyBorder="1" applyAlignment="1">
      <alignment horizontal="center" vertical="center" wrapText="1" shrinkToFit="1"/>
    </xf>
    <xf numFmtId="0" fontId="31" fillId="0" borderId="1" xfId="1" applyFont="1" applyFill="1" applyBorder="1" applyAlignment="1">
      <alignment horizontal="left" vertical="center" wrapText="1"/>
    </xf>
    <xf numFmtId="0" fontId="43" fillId="0" borderId="1" xfId="1" applyFont="1" applyFill="1" applyBorder="1" applyAlignment="1">
      <alignment horizontal="left" vertical="center" wrapText="1"/>
    </xf>
    <xf numFmtId="0" fontId="12" fillId="0" borderId="1" xfId="1" applyFont="1" applyFill="1" applyBorder="1" applyAlignment="1">
      <alignment horizontal="center" vertical="center"/>
    </xf>
    <xf numFmtId="49" fontId="21" fillId="0" borderId="1" xfId="3" applyNumberFormat="1" applyFont="1" applyFill="1" applyBorder="1" applyAlignment="1">
      <alignment horizontal="center" vertical="center" wrapText="1"/>
    </xf>
    <xf numFmtId="0" fontId="21" fillId="0" borderId="1" xfId="1" applyFont="1" applyFill="1" applyBorder="1" applyAlignment="1">
      <alignment horizontal="center" vertical="center" wrapText="1"/>
    </xf>
    <xf numFmtId="49" fontId="31" fillId="0" borderId="1" xfId="3" applyNumberFormat="1" applyFont="1" applyFill="1" applyBorder="1" applyAlignment="1">
      <alignment horizontal="center" vertical="center" wrapText="1"/>
    </xf>
    <xf numFmtId="49" fontId="31" fillId="0" borderId="1" xfId="3" applyNumberFormat="1" applyFont="1" applyFill="1" applyBorder="1" applyAlignment="1">
      <alignment horizontal="center" vertical="center" textRotation="90" wrapText="1"/>
    </xf>
    <xf numFmtId="49" fontId="8" fillId="0" borderId="1" xfId="3" applyNumberFormat="1" applyFont="1" applyFill="1" applyBorder="1" applyAlignment="1">
      <alignment horizontal="center" vertical="center" wrapText="1"/>
    </xf>
    <xf numFmtId="49" fontId="23" fillId="0" borderId="1" xfId="3" applyNumberFormat="1" applyFont="1" applyFill="1" applyBorder="1" applyAlignment="1">
      <alignment horizontal="center" vertical="center" wrapText="1"/>
    </xf>
    <xf numFmtId="0" fontId="12" fillId="0" borderId="1" xfId="1" applyFont="1" applyFill="1" applyBorder="1" applyAlignment="1">
      <alignment horizontal="center" vertical="center"/>
    </xf>
    <xf numFmtId="49" fontId="12" fillId="0" borderId="1" xfId="3" applyNumberFormat="1" applyFont="1" applyFill="1" applyBorder="1" applyAlignment="1">
      <alignment horizontal="center" vertical="center" wrapText="1" shrinkToFit="1"/>
    </xf>
    <xf numFmtId="49" fontId="17" fillId="0" borderId="0" xfId="2" applyNumberFormat="1" applyFont="1" applyFill="1" applyBorder="1" applyAlignment="1">
      <alignment horizontal="center" vertical="center" wrapText="1"/>
    </xf>
    <xf numFmtId="49" fontId="24" fillId="0" borderId="1" xfId="3" applyNumberFormat="1" applyFont="1" applyFill="1" applyBorder="1" applyAlignment="1">
      <alignment horizontal="center" vertical="center" wrapText="1"/>
    </xf>
    <xf numFmtId="49" fontId="31" fillId="0" borderId="1" xfId="3" applyNumberFormat="1" applyFont="1" applyFill="1" applyBorder="1" applyAlignment="1" applyProtection="1">
      <alignment horizontal="center" vertical="center" wrapText="1"/>
      <protection locked="0"/>
    </xf>
    <xf numFmtId="0" fontId="53" fillId="0" borderId="0" xfId="2" applyFont="1" applyFill="1" applyBorder="1"/>
    <xf numFmtId="0" fontId="53" fillId="0" borderId="0" xfId="2" applyFont="1" applyFill="1" applyBorder="1" applyAlignment="1">
      <alignment horizontal="center"/>
    </xf>
    <xf numFmtId="0" fontId="12" fillId="0" borderId="0" xfId="2" applyFont="1" applyFill="1"/>
  </cellXfs>
  <cellStyles count="33">
    <cellStyle name="Звичайний 10" xfId="16"/>
    <cellStyle name="Звичайний 11" xfId="17"/>
    <cellStyle name="Звичайний 12" xfId="18"/>
    <cellStyle name="Звичайний 13" xfId="19"/>
    <cellStyle name="Звичайний 14" xfId="20"/>
    <cellStyle name="Звичайний 15" xfId="21"/>
    <cellStyle name="Звичайний 16" xfId="22"/>
    <cellStyle name="Звичайний 17" xfId="23"/>
    <cellStyle name="Звичайний 18" xfId="24"/>
    <cellStyle name="Звичайний 19" xfId="25"/>
    <cellStyle name="Звичайний 2" xfId="3"/>
    <cellStyle name="Звичайний 2 2" xfId="31"/>
    <cellStyle name="Звичайний 2 3" xfId="5"/>
    <cellStyle name="Звичайний 20" xfId="26"/>
    <cellStyle name="Звичайний 3" xfId="6"/>
    <cellStyle name="Звичайний 3 2" xfId="7"/>
    <cellStyle name="Звичайний 4" xfId="9"/>
    <cellStyle name="Звичайний 5" xfId="10"/>
    <cellStyle name="Звичайний 5 2" xfId="27"/>
    <cellStyle name="Звичайний 6" xfId="12"/>
    <cellStyle name="Звичайний 7" xfId="13"/>
    <cellStyle name="Звичайний 8" xfId="14"/>
    <cellStyle name="Звичайний 9" xfId="15"/>
    <cellStyle name="Звичайний_1с" xfId="11"/>
    <cellStyle name="Обычный" xfId="0" builtinId="0"/>
    <cellStyle name="Обычный 2" xfId="28"/>
    <cellStyle name="Обычный 3" xfId="29"/>
    <cellStyle name="Обычный 4" xfId="30"/>
    <cellStyle name="Обычный 5" xfId="32"/>
    <cellStyle name="Обычный 6" xfId="4"/>
    <cellStyle name="Обычный_Ан_вик_бюдж_поміс" xfId="1"/>
    <cellStyle name="Обычный_Ан_вик_бюдж_поміс_вл_закр" xfId="2"/>
    <cellStyle name="Фінансовий 2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69"/>
  <sheetViews>
    <sheetView showGridLines="0" tabSelected="1" view="pageBreakPreview" zoomScale="60" zoomScaleNormal="75" workbookViewId="0">
      <pane xSplit="3" ySplit="6" topLeftCell="D124" activePane="bottomRight" state="frozen"/>
      <selection pane="topRight" activeCell="D1" sqref="D1"/>
      <selection pane="bottomLeft" activeCell="A7" sqref="A7"/>
      <selection pane="bottomRight" activeCell="B162" sqref="B162"/>
    </sheetView>
  </sheetViews>
  <sheetFormatPr defaultColWidth="9.140625" defaultRowHeight="12.75" x14ac:dyDescent="0.2"/>
  <cols>
    <col min="1" max="1" width="12.28515625" style="16" customWidth="1"/>
    <col min="2" max="2" width="111.85546875" style="16" customWidth="1"/>
    <col min="3" max="3" width="16.140625" style="16" customWidth="1"/>
    <col min="4" max="4" width="24.85546875" style="16" bestFit="1" customWidth="1"/>
    <col min="5" max="5" width="24.140625" style="16" customWidth="1"/>
    <col min="6" max="6" width="24.140625" style="161" customWidth="1"/>
    <col min="7" max="18" width="21.28515625" style="161" hidden="1" customWidth="1"/>
    <col min="19" max="19" width="22.28515625" style="1" customWidth="1"/>
    <col min="20" max="20" width="14.85546875" style="1" customWidth="1"/>
    <col min="21" max="21" width="24.140625" style="161" customWidth="1"/>
    <col min="22" max="22" width="24.140625" style="1" customWidth="1"/>
    <col min="23" max="23" width="12.5703125" style="161" customWidth="1"/>
    <col min="24" max="24" width="24.140625" style="161" hidden="1" customWidth="1"/>
    <col min="25" max="25" width="20.42578125" style="161" hidden="1" customWidth="1"/>
    <col min="26" max="26" width="15.85546875" style="161" hidden="1" customWidth="1"/>
    <col min="27" max="27" width="12.28515625" style="161" bestFit="1" customWidth="1"/>
    <col min="28" max="28" width="21.28515625" style="161" bestFit="1" customWidth="1"/>
    <col min="29" max="29" width="9.140625" style="161"/>
    <col min="30" max="30" width="15.140625" style="161" hidden="1" customWidth="1"/>
    <col min="31" max="16384" width="9.140625" style="161"/>
  </cols>
  <sheetData>
    <row r="1" spans="1:38" ht="30" customHeight="1" x14ac:dyDescent="0.2">
      <c r="A1" s="207" t="s">
        <v>249</v>
      </c>
      <c r="B1" s="207"/>
      <c r="C1" s="207"/>
      <c r="D1" s="207"/>
      <c r="E1" s="207"/>
      <c r="F1" s="207"/>
      <c r="G1" s="207"/>
      <c r="H1" s="207"/>
      <c r="I1" s="207"/>
      <c r="J1" s="207"/>
      <c r="K1" s="207"/>
      <c r="L1" s="207"/>
      <c r="M1" s="207"/>
      <c r="N1" s="207"/>
      <c r="O1" s="207"/>
      <c r="P1" s="207"/>
      <c r="Q1" s="207"/>
      <c r="R1" s="207"/>
      <c r="S1" s="207"/>
      <c r="T1" s="207"/>
      <c r="U1" s="207"/>
      <c r="V1" s="207"/>
      <c r="W1" s="207"/>
    </row>
    <row r="2" spans="1:38" ht="18.75" x14ac:dyDescent="0.3">
      <c r="A2" s="17" t="s">
        <v>46</v>
      </c>
      <c r="B2" s="162"/>
      <c r="C2" s="162"/>
      <c r="D2" s="77"/>
      <c r="E2" s="162"/>
      <c r="F2" s="77"/>
      <c r="G2" s="162"/>
      <c r="H2" s="162"/>
      <c r="I2" s="162"/>
      <c r="J2" s="162"/>
      <c r="K2" s="162"/>
      <c r="L2" s="162"/>
      <c r="M2" s="162"/>
      <c r="N2" s="162"/>
      <c r="O2" s="162"/>
      <c r="P2" s="162"/>
      <c r="Q2" s="162"/>
      <c r="R2" s="77"/>
      <c r="U2" s="77"/>
      <c r="V2" s="3" t="s">
        <v>13</v>
      </c>
      <c r="W2" s="3"/>
    </row>
    <row r="3" spans="1:38" s="51" customFormat="1" ht="15" customHeight="1" x14ac:dyDescent="0.25">
      <c r="A3" s="203" t="s">
        <v>0</v>
      </c>
      <c r="B3" s="209" t="s">
        <v>1</v>
      </c>
      <c r="C3" s="209" t="s">
        <v>2</v>
      </c>
      <c r="D3" s="201" t="s">
        <v>138</v>
      </c>
      <c r="E3" s="201" t="s">
        <v>139</v>
      </c>
      <c r="F3" s="201" t="s">
        <v>214</v>
      </c>
      <c r="G3" s="201" t="s">
        <v>62</v>
      </c>
      <c r="H3" s="201" t="s">
        <v>153</v>
      </c>
      <c r="I3" s="201" t="s">
        <v>163</v>
      </c>
      <c r="J3" s="201" t="s">
        <v>170</v>
      </c>
      <c r="K3" s="201" t="s">
        <v>173</v>
      </c>
      <c r="L3" s="201" t="s">
        <v>174</v>
      </c>
      <c r="M3" s="201" t="s">
        <v>177</v>
      </c>
      <c r="N3" s="201" t="s">
        <v>186</v>
      </c>
      <c r="O3" s="201" t="s">
        <v>187</v>
      </c>
      <c r="P3" s="201" t="s">
        <v>194</v>
      </c>
      <c r="Q3" s="201" t="s">
        <v>201</v>
      </c>
      <c r="R3" s="201" t="s">
        <v>207</v>
      </c>
      <c r="S3" s="201" t="s">
        <v>205</v>
      </c>
      <c r="T3" s="202" t="s">
        <v>206</v>
      </c>
      <c r="U3" s="201" t="s">
        <v>203</v>
      </c>
      <c r="V3" s="201" t="s">
        <v>204</v>
      </c>
      <c r="W3" s="201" t="s">
        <v>3</v>
      </c>
    </row>
    <row r="4" spans="1:38" s="51" customFormat="1" ht="83.25" customHeight="1" x14ac:dyDescent="0.25">
      <c r="A4" s="203"/>
      <c r="B4" s="209"/>
      <c r="C4" s="209"/>
      <c r="D4" s="201"/>
      <c r="E4" s="201"/>
      <c r="F4" s="201"/>
      <c r="G4" s="201"/>
      <c r="H4" s="201"/>
      <c r="I4" s="201"/>
      <c r="J4" s="201"/>
      <c r="K4" s="201"/>
      <c r="L4" s="201"/>
      <c r="M4" s="201"/>
      <c r="N4" s="201"/>
      <c r="O4" s="201"/>
      <c r="P4" s="201"/>
      <c r="Q4" s="201"/>
      <c r="R4" s="201"/>
      <c r="S4" s="201"/>
      <c r="T4" s="202"/>
      <c r="U4" s="201"/>
      <c r="V4" s="201"/>
      <c r="W4" s="201"/>
    </row>
    <row r="5" spans="1:38" s="54" customFormat="1" ht="20.25" x14ac:dyDescent="0.2">
      <c r="A5" s="52" t="s">
        <v>4</v>
      </c>
      <c r="B5" s="141" t="s">
        <v>5</v>
      </c>
      <c r="C5" s="141">
        <f>B5+1</f>
        <v>3</v>
      </c>
      <c r="D5" s="141">
        <f t="shared" ref="D5:E5" si="0">C5+1</f>
        <v>4</v>
      </c>
      <c r="E5" s="141">
        <f t="shared" si="0"/>
        <v>5</v>
      </c>
      <c r="F5" s="141">
        <f t="shared" ref="F5" si="1">E5+1</f>
        <v>6</v>
      </c>
      <c r="G5" s="141">
        <f t="shared" ref="G5" si="2">F5+1</f>
        <v>7</v>
      </c>
      <c r="H5" s="141">
        <f t="shared" ref="H5" si="3">G5+1</f>
        <v>8</v>
      </c>
      <c r="I5" s="141">
        <f t="shared" ref="I5" si="4">H5+1</f>
        <v>9</v>
      </c>
      <c r="J5" s="141">
        <f t="shared" ref="J5" si="5">I5+1</f>
        <v>10</v>
      </c>
      <c r="K5" s="141">
        <f t="shared" ref="K5" si="6">J5+1</f>
        <v>11</v>
      </c>
      <c r="L5" s="141">
        <f t="shared" ref="L5" si="7">K5+1</f>
        <v>12</v>
      </c>
      <c r="M5" s="141">
        <f t="shared" ref="M5" si="8">L5+1</f>
        <v>13</v>
      </c>
      <c r="N5" s="141">
        <f t="shared" ref="N5" si="9">M5+1</f>
        <v>14</v>
      </c>
      <c r="O5" s="141">
        <f t="shared" ref="O5" si="10">N5+1</f>
        <v>15</v>
      </c>
      <c r="P5" s="141">
        <f t="shared" ref="P5" si="11">O5+1</f>
        <v>16</v>
      </c>
      <c r="Q5" s="141">
        <f t="shared" ref="Q5" si="12">P5+1</f>
        <v>17</v>
      </c>
      <c r="R5" s="141">
        <f t="shared" ref="R5" si="13">Q5+1</f>
        <v>18</v>
      </c>
      <c r="S5" s="141">
        <v>7</v>
      </c>
      <c r="T5" s="141">
        <f t="shared" ref="T5" si="14">S5+1</f>
        <v>8</v>
      </c>
      <c r="U5" s="141">
        <f t="shared" ref="U5" si="15">T5+1</f>
        <v>9</v>
      </c>
      <c r="V5" s="141">
        <f t="shared" ref="V5" si="16">U5+1</f>
        <v>10</v>
      </c>
      <c r="W5" s="141">
        <f t="shared" ref="W5" si="17">V5+1</f>
        <v>11</v>
      </c>
      <c r="X5" s="53"/>
      <c r="Y5" s="53"/>
      <c r="Z5" s="53"/>
      <c r="AA5" s="53"/>
      <c r="AB5" s="53"/>
      <c r="AC5" s="53"/>
      <c r="AD5" s="53"/>
      <c r="AE5" s="53"/>
      <c r="AF5" s="53"/>
      <c r="AG5" s="53"/>
      <c r="AH5" s="53"/>
      <c r="AI5" s="53"/>
      <c r="AJ5" s="53"/>
      <c r="AK5" s="53"/>
      <c r="AL5" s="53"/>
    </row>
    <row r="6" spans="1:38" s="55" customFormat="1" ht="26.25" customHeight="1" x14ac:dyDescent="0.2">
      <c r="A6" s="208" t="s">
        <v>6</v>
      </c>
      <c r="B6" s="208"/>
      <c r="C6" s="208"/>
      <c r="D6" s="208"/>
      <c r="E6" s="208"/>
      <c r="F6" s="208"/>
      <c r="G6" s="208"/>
      <c r="H6" s="208"/>
      <c r="I6" s="208"/>
      <c r="J6" s="208"/>
      <c r="K6" s="208"/>
      <c r="L6" s="208"/>
      <c r="M6" s="208"/>
      <c r="N6" s="208"/>
      <c r="O6" s="208"/>
      <c r="P6" s="208"/>
      <c r="Q6" s="208"/>
      <c r="R6" s="208"/>
      <c r="S6" s="208"/>
      <c r="T6" s="208"/>
      <c r="U6" s="208"/>
      <c r="V6" s="208"/>
      <c r="W6" s="208"/>
    </row>
    <row r="7" spans="1:38" s="144" customFormat="1" ht="29.25" customHeight="1" x14ac:dyDescent="0.25">
      <c r="A7" s="142">
        <v>1</v>
      </c>
      <c r="B7" s="62" t="s">
        <v>66</v>
      </c>
      <c r="C7" s="143" t="s">
        <v>14</v>
      </c>
      <c r="D7" s="147">
        <v>2398057.0789999999</v>
      </c>
      <c r="E7" s="147">
        <v>2319570.227</v>
      </c>
      <c r="F7" s="147">
        <f t="shared" ref="F7:F13" si="18">SUM(G7:R7)</f>
        <v>2381707.6060000001</v>
      </c>
      <c r="G7" s="147">
        <v>146999.421</v>
      </c>
      <c r="H7" s="147">
        <v>179706.05300000001</v>
      </c>
      <c r="I7" s="147">
        <v>188112.742</v>
      </c>
      <c r="J7" s="147">
        <v>196904.038</v>
      </c>
      <c r="K7" s="147">
        <v>184793.12400000001</v>
      </c>
      <c r="L7" s="147">
        <v>216858.70499999999</v>
      </c>
      <c r="M7" s="147">
        <v>196563.59700000001</v>
      </c>
      <c r="N7" s="147">
        <v>190260.019</v>
      </c>
      <c r="O7" s="147">
        <v>197766.72500000001</v>
      </c>
      <c r="P7" s="147">
        <v>207645.22200000001</v>
      </c>
      <c r="Q7" s="147">
        <v>208758.878</v>
      </c>
      <c r="R7" s="147">
        <v>267339.08199999999</v>
      </c>
      <c r="S7" s="148">
        <f>F7-E7</f>
        <v>62137.37900000019</v>
      </c>
      <c r="T7" s="149">
        <f>F7/E7*100</f>
        <v>102.67883154718558</v>
      </c>
      <c r="U7" s="147">
        <v>1953923.1950000003</v>
      </c>
      <c r="V7" s="148">
        <f t="shared" ref="V7:V38" si="19">F7-U7</f>
        <v>427784.41099999985</v>
      </c>
      <c r="W7" s="149">
        <f>F7/U7*100</f>
        <v>121.89361445192321</v>
      </c>
      <c r="X7" s="56"/>
      <c r="Y7" s="56"/>
      <c r="Z7" s="56">
        <f>X7-Y7</f>
        <v>0</v>
      </c>
      <c r="AA7" s="57" t="e">
        <f>X7/Y7*100</f>
        <v>#DIV/0!</v>
      </c>
    </row>
    <row r="8" spans="1:38" s="144" customFormat="1" ht="34.5" customHeight="1" x14ac:dyDescent="0.25">
      <c r="A8" s="142">
        <f>A7+1</f>
        <v>2</v>
      </c>
      <c r="B8" s="62" t="s">
        <v>34</v>
      </c>
      <c r="C8" s="143" t="s">
        <v>16</v>
      </c>
      <c r="D8" s="147">
        <v>1100</v>
      </c>
      <c r="E8" s="147">
        <v>979</v>
      </c>
      <c r="F8" s="147">
        <f t="shared" si="18"/>
        <v>979.47700000000009</v>
      </c>
      <c r="G8" s="147">
        <v>70</v>
      </c>
      <c r="H8" s="147">
        <v>377.19400000000002</v>
      </c>
      <c r="I8" s="147">
        <v>102.018</v>
      </c>
      <c r="J8" s="147">
        <v>56.6</v>
      </c>
      <c r="K8" s="147">
        <v>69.45</v>
      </c>
      <c r="L8" s="147">
        <v>0</v>
      </c>
      <c r="M8" s="147">
        <v>23.594999999999999</v>
      </c>
      <c r="N8" s="147">
        <v>88.373999999999995</v>
      </c>
      <c r="O8" s="147">
        <v>0</v>
      </c>
      <c r="P8" s="147">
        <v>0</v>
      </c>
      <c r="Q8" s="147">
        <v>192.24600000000001</v>
      </c>
      <c r="R8" s="147">
        <v>0</v>
      </c>
      <c r="S8" s="148">
        <f t="shared" ref="S8:S72" si="20">F8-E8</f>
        <v>0.47700000000008913</v>
      </c>
      <c r="T8" s="149">
        <f t="shared" ref="T8:T72" si="21">F8/E8*100</f>
        <v>100.04872318692544</v>
      </c>
      <c r="U8" s="147">
        <v>1086.819</v>
      </c>
      <c r="V8" s="148">
        <f t="shared" si="19"/>
        <v>-107.34199999999987</v>
      </c>
      <c r="W8" s="149">
        <f>F8/U8*100</f>
        <v>90.12328639819512</v>
      </c>
      <c r="X8" s="56"/>
      <c r="Y8" s="56"/>
      <c r="Z8" s="56">
        <f>U7/0.5</f>
        <v>3907846.3900000006</v>
      </c>
      <c r="AA8" s="57">
        <f>Y8/Z8*100</f>
        <v>0</v>
      </c>
    </row>
    <row r="9" spans="1:38" s="144" customFormat="1" ht="34.5" customHeight="1" x14ac:dyDescent="0.25">
      <c r="A9" s="142">
        <v>3</v>
      </c>
      <c r="B9" s="62" t="s">
        <v>111</v>
      </c>
      <c r="C9" s="143" t="s">
        <v>112</v>
      </c>
      <c r="D9" s="147">
        <f>SUM(D11:D13)</f>
        <v>506.88</v>
      </c>
      <c r="E9" s="147">
        <f>SUM(E10:E13)</f>
        <v>469.88</v>
      </c>
      <c r="F9" s="147">
        <f t="shared" si="18"/>
        <v>470.99700000000001</v>
      </c>
      <c r="G9" s="147">
        <f t="shared" ref="G9:R9" si="22">SUM(G10:G13)</f>
        <v>0.54200000000000004</v>
      </c>
      <c r="H9" s="147">
        <f t="shared" si="22"/>
        <v>122.20099999999999</v>
      </c>
      <c r="I9" s="147">
        <f t="shared" si="22"/>
        <v>2.044</v>
      </c>
      <c r="J9" s="147">
        <f t="shared" si="22"/>
        <v>2.8140000000000001</v>
      </c>
      <c r="K9" s="147">
        <f t="shared" ref="K9:Q9" si="23">SUM(K10:K13)</f>
        <v>85.728000000000009</v>
      </c>
      <c r="L9" s="147">
        <f t="shared" si="23"/>
        <v>0</v>
      </c>
      <c r="M9" s="147">
        <f t="shared" si="23"/>
        <v>47.101999999999997</v>
      </c>
      <c r="N9" s="147">
        <f t="shared" si="23"/>
        <v>81.548000000000002</v>
      </c>
      <c r="O9" s="147">
        <f t="shared" si="23"/>
        <v>8.6999999999999994E-2</v>
      </c>
      <c r="P9" s="147">
        <f t="shared" si="23"/>
        <v>1.095</v>
      </c>
      <c r="Q9" s="147">
        <f t="shared" si="23"/>
        <v>127.73599999999999</v>
      </c>
      <c r="R9" s="147">
        <f t="shared" si="22"/>
        <v>0.1</v>
      </c>
      <c r="S9" s="148">
        <f t="shared" si="20"/>
        <v>1.1170000000000186</v>
      </c>
      <c r="T9" s="149">
        <f t="shared" si="21"/>
        <v>100.23772026900485</v>
      </c>
      <c r="U9" s="147">
        <f>SUM(U10:U13)</f>
        <v>430.72300000000001</v>
      </c>
      <c r="V9" s="148">
        <f t="shared" si="19"/>
        <v>40.274000000000001</v>
      </c>
      <c r="W9" s="149">
        <f>F9/U9*100</f>
        <v>109.35032491879933</v>
      </c>
      <c r="X9" s="56"/>
      <c r="Y9" s="56"/>
      <c r="Z9" s="56"/>
      <c r="AA9" s="57"/>
    </row>
    <row r="10" spans="1:38" s="61" customFormat="1" ht="48.75" customHeight="1" x14ac:dyDescent="0.25">
      <c r="A10" s="58" t="s">
        <v>113</v>
      </c>
      <c r="B10" s="127" t="s">
        <v>155</v>
      </c>
      <c r="C10" s="50" t="s">
        <v>154</v>
      </c>
      <c r="D10" s="150">
        <v>0</v>
      </c>
      <c r="E10" s="150">
        <v>22.1</v>
      </c>
      <c r="F10" s="150">
        <f t="shared" si="18"/>
        <v>22.167000000000002</v>
      </c>
      <c r="G10" s="150">
        <v>0</v>
      </c>
      <c r="H10" s="150">
        <v>8.5120000000000005</v>
      </c>
      <c r="I10" s="150">
        <v>0</v>
      </c>
      <c r="J10" s="150">
        <v>0</v>
      </c>
      <c r="K10" s="150">
        <v>4.5519999999999996</v>
      </c>
      <c r="L10" s="150">
        <v>0</v>
      </c>
      <c r="M10" s="150">
        <v>0</v>
      </c>
      <c r="N10" s="150">
        <v>4.5510000000000002</v>
      </c>
      <c r="O10" s="150">
        <v>0</v>
      </c>
      <c r="P10" s="150">
        <v>0</v>
      </c>
      <c r="Q10" s="150">
        <v>4.5519999999999996</v>
      </c>
      <c r="R10" s="150">
        <v>0</v>
      </c>
      <c r="S10" s="93">
        <f t="shared" si="20"/>
        <v>6.7000000000000171E-2</v>
      </c>
      <c r="T10" s="151">
        <f t="shared" si="21"/>
        <v>100.30316742081449</v>
      </c>
      <c r="U10" s="150">
        <v>0</v>
      </c>
      <c r="V10" s="93">
        <f t="shared" si="19"/>
        <v>22.167000000000002</v>
      </c>
      <c r="W10" s="151"/>
    </row>
    <row r="11" spans="1:38" s="61" customFormat="1" ht="58.5" x14ac:dyDescent="0.25">
      <c r="A11" s="58" t="s">
        <v>114</v>
      </c>
      <c r="B11" s="127" t="s">
        <v>105</v>
      </c>
      <c r="C11" s="50" t="s">
        <v>106</v>
      </c>
      <c r="D11" s="150">
        <v>166.79</v>
      </c>
      <c r="E11" s="150">
        <v>153.79</v>
      </c>
      <c r="F11" s="150">
        <f t="shared" si="18"/>
        <v>154.51300000000001</v>
      </c>
      <c r="G11" s="150">
        <v>0</v>
      </c>
      <c r="H11" s="150">
        <v>53.468000000000004</v>
      </c>
      <c r="I11" s="150">
        <v>0</v>
      </c>
      <c r="J11" s="150">
        <v>0</v>
      </c>
      <c r="K11" s="150">
        <v>14.064</v>
      </c>
      <c r="L11" s="150">
        <v>0</v>
      </c>
      <c r="M11" s="150">
        <v>45.820999999999998</v>
      </c>
      <c r="N11" s="150">
        <v>2.2989999999999999</v>
      </c>
      <c r="O11" s="150">
        <v>0</v>
      </c>
      <c r="P11" s="150">
        <v>0</v>
      </c>
      <c r="Q11" s="150">
        <v>38.860999999999997</v>
      </c>
      <c r="R11" s="150">
        <v>0</v>
      </c>
      <c r="S11" s="93">
        <f t="shared" si="20"/>
        <v>0.72300000000001319</v>
      </c>
      <c r="T11" s="151">
        <f t="shared" si="21"/>
        <v>100.47012159438195</v>
      </c>
      <c r="U11" s="150">
        <v>98.435999999999993</v>
      </c>
      <c r="V11" s="93">
        <f t="shared" si="19"/>
        <v>56.077000000000012</v>
      </c>
      <c r="W11" s="151">
        <f t="shared" ref="W11:W23" si="24">F11/U11*100</f>
        <v>156.9679791946036</v>
      </c>
    </row>
    <row r="12" spans="1:38" s="61" customFormat="1" ht="39" x14ac:dyDescent="0.25">
      <c r="A12" s="58" t="s">
        <v>115</v>
      </c>
      <c r="B12" s="127" t="s">
        <v>142</v>
      </c>
      <c r="C12" s="50" t="s">
        <v>110</v>
      </c>
      <c r="D12" s="150">
        <v>82.45</v>
      </c>
      <c r="E12" s="150">
        <v>81.349999999999994</v>
      </c>
      <c r="F12" s="150">
        <f t="shared" si="18"/>
        <v>81.451000000000008</v>
      </c>
      <c r="G12" s="150">
        <v>0.54200000000000004</v>
      </c>
      <c r="H12" s="150">
        <v>16.193000000000001</v>
      </c>
      <c r="I12" s="150">
        <v>4.4999999999999998E-2</v>
      </c>
      <c r="J12" s="150">
        <v>2.8140000000000001</v>
      </c>
      <c r="K12" s="150">
        <v>12.21</v>
      </c>
      <c r="L12" s="150">
        <v>0</v>
      </c>
      <c r="M12" s="150">
        <v>1.2809999999999999</v>
      </c>
      <c r="N12" s="150">
        <v>23.024999999999999</v>
      </c>
      <c r="O12" s="150">
        <v>8.6999999999999994E-2</v>
      </c>
      <c r="P12" s="150">
        <v>1.095</v>
      </c>
      <c r="Q12" s="150">
        <v>24.059000000000001</v>
      </c>
      <c r="R12" s="150">
        <v>0.1</v>
      </c>
      <c r="S12" s="93">
        <f t="shared" si="20"/>
        <v>0.1010000000000133</v>
      </c>
      <c r="T12" s="151">
        <f t="shared" si="21"/>
        <v>100.12415488629381</v>
      </c>
      <c r="U12" s="150">
        <v>82.381</v>
      </c>
      <c r="V12" s="93">
        <f t="shared" si="19"/>
        <v>-0.92999999999999261</v>
      </c>
      <c r="W12" s="151">
        <f t="shared" si="24"/>
        <v>98.871098918439941</v>
      </c>
    </row>
    <row r="13" spans="1:38" s="61" customFormat="1" ht="39" x14ac:dyDescent="0.25">
      <c r="A13" s="58" t="s">
        <v>156</v>
      </c>
      <c r="B13" s="127" t="s">
        <v>141</v>
      </c>
      <c r="C13" s="50" t="s">
        <v>140</v>
      </c>
      <c r="D13" s="150">
        <v>257.64</v>
      </c>
      <c r="E13" s="150">
        <v>212.64</v>
      </c>
      <c r="F13" s="150">
        <f t="shared" si="18"/>
        <v>212.86600000000001</v>
      </c>
      <c r="G13" s="150">
        <v>0</v>
      </c>
      <c r="H13" s="150">
        <v>44.027999999999999</v>
      </c>
      <c r="I13" s="150">
        <v>1.9990000000000001</v>
      </c>
      <c r="J13" s="150">
        <v>0</v>
      </c>
      <c r="K13" s="150">
        <v>54.902000000000001</v>
      </c>
      <c r="L13" s="150">
        <v>0</v>
      </c>
      <c r="M13" s="150">
        <v>0</v>
      </c>
      <c r="N13" s="150">
        <v>51.673000000000002</v>
      </c>
      <c r="O13" s="150">
        <v>0</v>
      </c>
      <c r="P13" s="150">
        <v>0</v>
      </c>
      <c r="Q13" s="150">
        <v>60.264000000000003</v>
      </c>
      <c r="R13" s="150">
        <v>0</v>
      </c>
      <c r="S13" s="93">
        <f t="shared" si="20"/>
        <v>0.22600000000002751</v>
      </c>
      <c r="T13" s="151">
        <f t="shared" si="21"/>
        <v>100.10628291948835</v>
      </c>
      <c r="U13" s="150">
        <v>249.90600000000001</v>
      </c>
      <c r="V13" s="93">
        <f t="shared" si="19"/>
        <v>-37.039999999999992</v>
      </c>
      <c r="W13" s="151">
        <f t="shared" si="24"/>
        <v>85.178427088585309</v>
      </c>
    </row>
    <row r="14" spans="1:38" s="144" customFormat="1" ht="42" customHeight="1" x14ac:dyDescent="0.25">
      <c r="A14" s="142">
        <v>4</v>
      </c>
      <c r="B14" s="82" t="s">
        <v>92</v>
      </c>
      <c r="C14" s="78" t="s">
        <v>91</v>
      </c>
      <c r="D14" s="147">
        <f>SUM(D15:D17)</f>
        <v>247766</v>
      </c>
      <c r="E14" s="147">
        <f>SUM(E15:E17)</f>
        <v>257440.80100000001</v>
      </c>
      <c r="F14" s="147">
        <f t="shared" ref="F14:F89" si="25">SUM(G14:R14)</f>
        <v>266744.58599999995</v>
      </c>
      <c r="G14" s="147">
        <f t="shared" ref="G14:R14" si="26">SUM(G15:G17)</f>
        <v>9113.7909999999993</v>
      </c>
      <c r="H14" s="147">
        <f t="shared" ref="H14:Q14" si="27">SUM(H15:H17)</f>
        <v>6708.6930000000002</v>
      </c>
      <c r="I14" s="147">
        <f t="shared" si="27"/>
        <v>36301.611000000004</v>
      </c>
      <c r="J14" s="147">
        <f t="shared" si="27"/>
        <v>18813.798999999999</v>
      </c>
      <c r="K14" s="147">
        <f t="shared" si="27"/>
        <v>19997.205999999998</v>
      </c>
      <c r="L14" s="147">
        <f t="shared" si="27"/>
        <v>20472.231999999996</v>
      </c>
      <c r="M14" s="147">
        <f t="shared" si="27"/>
        <v>12117.133</v>
      </c>
      <c r="N14" s="147">
        <f t="shared" si="27"/>
        <v>13721.071</v>
      </c>
      <c r="O14" s="147">
        <f t="shared" si="27"/>
        <v>18065.900000000001</v>
      </c>
      <c r="P14" s="147">
        <f t="shared" si="27"/>
        <v>61617.557999999997</v>
      </c>
      <c r="Q14" s="147">
        <f t="shared" si="27"/>
        <v>26356.678</v>
      </c>
      <c r="R14" s="147">
        <f t="shared" si="26"/>
        <v>23458.913999999997</v>
      </c>
      <c r="S14" s="148">
        <f t="shared" si="20"/>
        <v>9303.7849999999453</v>
      </c>
      <c r="T14" s="149">
        <f t="shared" si="21"/>
        <v>103.6139512322291</v>
      </c>
      <c r="U14" s="147">
        <f t="shared" ref="U14" si="28">SUM(U15:U17)</f>
        <v>231953.04100000003</v>
      </c>
      <c r="V14" s="148">
        <f t="shared" si="19"/>
        <v>34791.544999999925</v>
      </c>
      <c r="W14" s="149">
        <f t="shared" si="24"/>
        <v>114.99939162254826</v>
      </c>
    </row>
    <row r="15" spans="1:38" s="61" customFormat="1" ht="36" customHeight="1" x14ac:dyDescent="0.25">
      <c r="A15" s="58" t="s">
        <v>128</v>
      </c>
      <c r="B15" s="127" t="s">
        <v>98</v>
      </c>
      <c r="C15" s="50" t="s">
        <v>89</v>
      </c>
      <c r="D15" s="150">
        <v>25500</v>
      </c>
      <c r="E15" s="150">
        <v>30000</v>
      </c>
      <c r="F15" s="150">
        <f>SUM(G15:R15)</f>
        <v>30655.166999999998</v>
      </c>
      <c r="G15" s="150">
        <v>0</v>
      </c>
      <c r="H15" s="150">
        <v>0</v>
      </c>
      <c r="I15" s="150">
        <v>6236.9179999999997</v>
      </c>
      <c r="J15" s="150">
        <v>2120.248</v>
      </c>
      <c r="K15" s="150">
        <v>2421.9479999999999</v>
      </c>
      <c r="L15" s="150">
        <v>2577.42</v>
      </c>
      <c r="M15" s="150">
        <v>0</v>
      </c>
      <c r="N15" s="150">
        <v>0</v>
      </c>
      <c r="O15" s="150">
        <v>0</v>
      </c>
      <c r="P15" s="150">
        <v>12310.704</v>
      </c>
      <c r="Q15" s="150">
        <v>2764.5590000000002</v>
      </c>
      <c r="R15" s="150">
        <v>2223.37</v>
      </c>
      <c r="S15" s="93">
        <f t="shared" si="20"/>
        <v>655.16699999999764</v>
      </c>
      <c r="T15" s="151">
        <f t="shared" si="21"/>
        <v>102.18388999999999</v>
      </c>
      <c r="U15" s="150">
        <v>24947.648000000001</v>
      </c>
      <c r="V15" s="93">
        <f t="shared" si="19"/>
        <v>5707.5189999999966</v>
      </c>
      <c r="W15" s="151">
        <f t="shared" si="24"/>
        <v>122.87798432942454</v>
      </c>
      <c r="X15" s="59">
        <f>U15+U16</f>
        <v>112151.76600000002</v>
      </c>
      <c r="Y15" s="59">
        <f>F15+F16</f>
        <v>134807.476</v>
      </c>
    </row>
    <row r="16" spans="1:38" s="61" customFormat="1" ht="39" x14ac:dyDescent="0.25">
      <c r="A16" s="58" t="s">
        <v>129</v>
      </c>
      <c r="B16" s="127" t="s">
        <v>99</v>
      </c>
      <c r="C16" s="50" t="s">
        <v>90</v>
      </c>
      <c r="D16" s="150">
        <v>87500</v>
      </c>
      <c r="E16" s="150">
        <v>101000</v>
      </c>
      <c r="F16" s="150">
        <f t="shared" si="25"/>
        <v>104152.30900000001</v>
      </c>
      <c r="G16" s="150">
        <v>0</v>
      </c>
      <c r="H16" s="150">
        <v>0</v>
      </c>
      <c r="I16" s="150">
        <v>21013.128000000001</v>
      </c>
      <c r="J16" s="150">
        <v>8063.9430000000002</v>
      </c>
      <c r="K16" s="150">
        <v>8167.2610000000004</v>
      </c>
      <c r="L16" s="150">
        <v>8116.9859999999999</v>
      </c>
      <c r="M16" s="150">
        <v>0</v>
      </c>
      <c r="N16" s="150">
        <v>0</v>
      </c>
      <c r="O16" s="150">
        <v>0</v>
      </c>
      <c r="P16" s="150">
        <v>38262.195</v>
      </c>
      <c r="Q16" s="150">
        <v>10323.870999999999</v>
      </c>
      <c r="R16" s="150">
        <v>10204.924999999999</v>
      </c>
      <c r="S16" s="93">
        <f t="shared" si="20"/>
        <v>3152.3090000000084</v>
      </c>
      <c r="T16" s="151">
        <f t="shared" si="21"/>
        <v>103.12109801980198</v>
      </c>
      <c r="U16" s="150">
        <v>87204.118000000017</v>
      </c>
      <c r="V16" s="93">
        <f t="shared" si="19"/>
        <v>16948.190999999992</v>
      </c>
      <c r="W16" s="151">
        <f t="shared" si="24"/>
        <v>119.43508103596665</v>
      </c>
    </row>
    <row r="17" spans="1:26" s="61" customFormat="1" ht="39" x14ac:dyDescent="0.25">
      <c r="A17" s="58" t="s">
        <v>130</v>
      </c>
      <c r="B17" s="127" t="s">
        <v>100</v>
      </c>
      <c r="C17" s="50" t="s">
        <v>55</v>
      </c>
      <c r="D17" s="150">
        <v>134766</v>
      </c>
      <c r="E17" s="150">
        <v>126440.80100000001</v>
      </c>
      <c r="F17" s="150">
        <f t="shared" si="25"/>
        <v>131937.11000000002</v>
      </c>
      <c r="G17" s="150">
        <v>9113.7909999999993</v>
      </c>
      <c r="H17" s="150">
        <v>6708.6930000000002</v>
      </c>
      <c r="I17" s="150">
        <v>9051.5650000000005</v>
      </c>
      <c r="J17" s="150">
        <v>8629.6080000000002</v>
      </c>
      <c r="K17" s="150">
        <v>9407.9969999999994</v>
      </c>
      <c r="L17" s="150">
        <v>9777.8259999999991</v>
      </c>
      <c r="M17" s="150">
        <v>12117.133</v>
      </c>
      <c r="N17" s="150">
        <v>13721.071</v>
      </c>
      <c r="O17" s="150">
        <v>18065.900000000001</v>
      </c>
      <c r="P17" s="150">
        <v>11044.659</v>
      </c>
      <c r="Q17" s="150">
        <v>13268.248</v>
      </c>
      <c r="R17" s="150">
        <v>11030.619000000001</v>
      </c>
      <c r="S17" s="93">
        <f t="shared" si="20"/>
        <v>5496.3090000000084</v>
      </c>
      <c r="T17" s="151">
        <f t="shared" si="21"/>
        <v>104.3469425664268</v>
      </c>
      <c r="U17" s="150">
        <v>119801.27500000001</v>
      </c>
      <c r="V17" s="93">
        <f t="shared" si="19"/>
        <v>12135.835000000006</v>
      </c>
      <c r="W17" s="151">
        <f t="shared" si="24"/>
        <v>110.12997148819994</v>
      </c>
    </row>
    <row r="18" spans="1:26" s="83" customFormat="1" ht="39" x14ac:dyDescent="0.25">
      <c r="A18" s="142">
        <v>5</v>
      </c>
      <c r="B18" s="62" t="s">
        <v>143</v>
      </c>
      <c r="C18" s="143" t="s">
        <v>36</v>
      </c>
      <c r="D18" s="147">
        <f>D19+D20+D21+D23+D22</f>
        <v>1024661.45</v>
      </c>
      <c r="E18" s="147">
        <f>E19+E20+E21+E23+E22</f>
        <v>953888.29399999999</v>
      </c>
      <c r="F18" s="147">
        <f t="shared" si="25"/>
        <v>971663.15699999989</v>
      </c>
      <c r="G18" s="147">
        <f t="shared" ref="G18:R18" si="29">G19+G20+G21+G23+G22</f>
        <v>75712.956999999995</v>
      </c>
      <c r="H18" s="147">
        <f t="shared" ref="H18:Q18" si="30">H19+H20+H21+H23+H22</f>
        <v>111045.806</v>
      </c>
      <c r="I18" s="147">
        <f t="shared" si="30"/>
        <v>44534.228999999999</v>
      </c>
      <c r="J18" s="147">
        <f t="shared" si="30"/>
        <v>86744.623999999996</v>
      </c>
      <c r="K18" s="147">
        <f t="shared" si="30"/>
        <v>95406.558000000005</v>
      </c>
      <c r="L18" s="147">
        <f t="shared" si="30"/>
        <v>48319.159</v>
      </c>
      <c r="M18" s="147">
        <f t="shared" si="30"/>
        <v>105793.67499999999</v>
      </c>
      <c r="N18" s="147">
        <f t="shared" si="30"/>
        <v>96725.224999999991</v>
      </c>
      <c r="O18" s="147">
        <f t="shared" si="30"/>
        <v>45178.220999999998</v>
      </c>
      <c r="P18" s="147">
        <f t="shared" si="30"/>
        <v>97496.802000000011</v>
      </c>
      <c r="Q18" s="147">
        <f t="shared" si="30"/>
        <v>111713.973</v>
      </c>
      <c r="R18" s="147">
        <f t="shared" si="29"/>
        <v>52991.928</v>
      </c>
      <c r="S18" s="148">
        <f t="shared" si="20"/>
        <v>17774.862999999896</v>
      </c>
      <c r="T18" s="149">
        <f t="shared" si="21"/>
        <v>101.86341137760098</v>
      </c>
      <c r="U18" s="147">
        <f>U19+U20+U21+U23+U22</f>
        <v>828303.74399999995</v>
      </c>
      <c r="V18" s="148">
        <f t="shared" si="19"/>
        <v>143359.41299999994</v>
      </c>
      <c r="W18" s="149">
        <f t="shared" si="24"/>
        <v>117.30758964189832</v>
      </c>
      <c r="X18" s="102">
        <f>U20+U21+U19</f>
        <v>297336.24</v>
      </c>
      <c r="Y18" s="102">
        <f>F19+F20+F21</f>
        <v>331875.23499999999</v>
      </c>
    </row>
    <row r="19" spans="1:26" s="85" customFormat="1" ht="36.75" customHeight="1" x14ac:dyDescent="0.25">
      <c r="A19" s="84" t="s">
        <v>145</v>
      </c>
      <c r="B19" s="128" t="s">
        <v>56</v>
      </c>
      <c r="C19" s="204" t="s">
        <v>42</v>
      </c>
      <c r="D19" s="150">
        <f>1213.85+13965.32+18822.08+58666</f>
        <v>92667.25</v>
      </c>
      <c r="E19" s="150">
        <v>96677.25</v>
      </c>
      <c r="F19" s="150">
        <f t="shared" si="25"/>
        <v>98572.831000000006</v>
      </c>
      <c r="G19" s="150">
        <v>9723.7669999999998</v>
      </c>
      <c r="H19" s="150">
        <v>3035.268</v>
      </c>
      <c r="I19" s="150">
        <v>4604.7759999999998</v>
      </c>
      <c r="J19" s="150">
        <v>15771.471</v>
      </c>
      <c r="K19" s="150">
        <v>6016.8990000000003</v>
      </c>
      <c r="L19" s="150">
        <v>6114.5559999999996</v>
      </c>
      <c r="M19" s="150">
        <v>18065.420999999998</v>
      </c>
      <c r="N19" s="150">
        <v>6654.8249999999998</v>
      </c>
      <c r="O19" s="150">
        <v>4877.9009999999998</v>
      </c>
      <c r="P19" s="150">
        <v>15819.74</v>
      </c>
      <c r="Q19" s="150">
        <v>3770.9969999999998</v>
      </c>
      <c r="R19" s="150">
        <v>4117.21</v>
      </c>
      <c r="S19" s="93">
        <f t="shared" si="20"/>
        <v>1895.5810000000056</v>
      </c>
      <c r="T19" s="151">
        <f t="shared" si="21"/>
        <v>101.96073119580875</v>
      </c>
      <c r="U19" s="150">
        <v>73795.679999999993</v>
      </c>
      <c r="V19" s="93">
        <f t="shared" si="19"/>
        <v>24777.151000000013</v>
      </c>
      <c r="W19" s="151">
        <f t="shared" si="24"/>
        <v>133.57534072455192</v>
      </c>
    </row>
    <row r="20" spans="1:26" s="85" customFormat="1" ht="36.75" customHeight="1" x14ac:dyDescent="0.25">
      <c r="A20" s="58" t="s">
        <v>146</v>
      </c>
      <c r="B20" s="128" t="s">
        <v>7</v>
      </c>
      <c r="C20" s="204"/>
      <c r="D20" s="150">
        <v>300000</v>
      </c>
      <c r="E20" s="150">
        <v>225312.84400000001</v>
      </c>
      <c r="F20" s="150">
        <f t="shared" si="25"/>
        <v>231658.33100000003</v>
      </c>
      <c r="G20" s="150">
        <v>15633.511</v>
      </c>
      <c r="H20" s="150">
        <v>21109.749</v>
      </c>
      <c r="I20" s="150">
        <v>19376.571</v>
      </c>
      <c r="J20" s="150">
        <v>19580.672999999999</v>
      </c>
      <c r="K20" s="150">
        <v>20458.473999999998</v>
      </c>
      <c r="L20" s="150">
        <v>21838.977999999999</v>
      </c>
      <c r="M20" s="150">
        <v>21325.975999999999</v>
      </c>
      <c r="N20" s="150">
        <v>18748.224999999999</v>
      </c>
      <c r="O20" s="150">
        <v>17704.473000000002</v>
      </c>
      <c r="P20" s="150">
        <v>17494.23</v>
      </c>
      <c r="Q20" s="150">
        <v>19323.697</v>
      </c>
      <c r="R20" s="150">
        <v>19063.774000000001</v>
      </c>
      <c r="S20" s="93">
        <f t="shared" si="20"/>
        <v>6345.4870000000228</v>
      </c>
      <c r="T20" s="151">
        <f t="shared" si="21"/>
        <v>102.81630061000872</v>
      </c>
      <c r="U20" s="150">
        <v>221649.98800000001</v>
      </c>
      <c r="V20" s="93">
        <f t="shared" si="19"/>
        <v>10008.343000000023</v>
      </c>
      <c r="W20" s="151">
        <f t="shared" si="24"/>
        <v>104.51538170171253</v>
      </c>
    </row>
    <row r="21" spans="1:26" s="85" customFormat="1" ht="36.75" customHeight="1" x14ac:dyDescent="0.25">
      <c r="A21" s="58" t="s">
        <v>147</v>
      </c>
      <c r="B21" s="128" t="s">
        <v>57</v>
      </c>
      <c r="C21" s="204"/>
      <c r="D21" s="150">
        <f>250+225</f>
        <v>475</v>
      </c>
      <c r="E21" s="150">
        <v>1580</v>
      </c>
      <c r="F21" s="150">
        <f t="shared" si="25"/>
        <v>1644.0730000000001</v>
      </c>
      <c r="G21" s="150">
        <v>324.197</v>
      </c>
      <c r="H21" s="150">
        <v>49.052999999999997</v>
      </c>
      <c r="I21" s="150">
        <v>157.625</v>
      </c>
      <c r="J21" s="150">
        <v>242.58</v>
      </c>
      <c r="K21" s="150">
        <v>119.52200000000001</v>
      </c>
      <c r="L21" s="150">
        <v>44.167000000000002</v>
      </c>
      <c r="M21" s="150">
        <v>196.07599999999999</v>
      </c>
      <c r="N21" s="150">
        <v>34.981999999999999</v>
      </c>
      <c r="O21" s="150">
        <v>40.582999999999998</v>
      </c>
      <c r="P21" s="150">
        <v>221.917</v>
      </c>
      <c r="Q21" s="150">
        <v>82.278000000000006</v>
      </c>
      <c r="R21" s="150">
        <v>131.09299999999999</v>
      </c>
      <c r="S21" s="93">
        <f t="shared" si="20"/>
        <v>64.073000000000093</v>
      </c>
      <c r="T21" s="151">
        <f t="shared" si="21"/>
        <v>104.05525316455697</v>
      </c>
      <c r="U21" s="150">
        <v>1890.5720000000001</v>
      </c>
      <c r="V21" s="93">
        <f t="shared" si="19"/>
        <v>-246.49900000000002</v>
      </c>
      <c r="W21" s="151">
        <f t="shared" si="24"/>
        <v>86.961670859401281</v>
      </c>
      <c r="X21" s="151">
        <f>100-W21</f>
        <v>13.038329140598719</v>
      </c>
      <c r="Y21" s="86"/>
      <c r="Z21" s="87" t="e">
        <f>F19/#REF!*100</f>
        <v>#REF!</v>
      </c>
    </row>
    <row r="22" spans="1:26" s="89" customFormat="1" ht="36.75" customHeight="1" x14ac:dyDescent="0.25">
      <c r="A22" s="58" t="s">
        <v>148</v>
      </c>
      <c r="B22" s="128" t="s">
        <v>38</v>
      </c>
      <c r="C22" s="88" t="s">
        <v>37</v>
      </c>
      <c r="D22" s="150">
        <v>950</v>
      </c>
      <c r="E22" s="150">
        <v>1869</v>
      </c>
      <c r="F22" s="150">
        <f t="shared" si="25"/>
        <v>1922.5170000000003</v>
      </c>
      <c r="G22" s="150">
        <v>59.935000000000002</v>
      </c>
      <c r="H22" s="150">
        <v>134.36000000000001</v>
      </c>
      <c r="I22" s="150">
        <v>29.998000000000001</v>
      </c>
      <c r="J22" s="150">
        <v>85.495000000000005</v>
      </c>
      <c r="K22" s="150">
        <v>203.86</v>
      </c>
      <c r="L22" s="150">
        <v>68.84</v>
      </c>
      <c r="M22" s="150">
        <v>141.779</v>
      </c>
      <c r="N22" s="150">
        <v>260.77800000000002</v>
      </c>
      <c r="O22" s="150">
        <v>101.536</v>
      </c>
      <c r="P22" s="150">
        <v>158.221</v>
      </c>
      <c r="Q22" s="150">
        <v>572.13199999999995</v>
      </c>
      <c r="R22" s="150">
        <v>105.583</v>
      </c>
      <c r="S22" s="93">
        <f t="shared" si="20"/>
        <v>53.51700000000028</v>
      </c>
      <c r="T22" s="151">
        <f t="shared" si="21"/>
        <v>102.86340288924561</v>
      </c>
      <c r="U22" s="150">
        <v>926.16599999999994</v>
      </c>
      <c r="V22" s="150">
        <f t="shared" si="19"/>
        <v>996.35100000000034</v>
      </c>
      <c r="W22" s="151">
        <f t="shared" si="24"/>
        <v>207.57801517222617</v>
      </c>
    </row>
    <row r="23" spans="1:26" s="85" customFormat="1" ht="36.75" customHeight="1" x14ac:dyDescent="0.25">
      <c r="A23" s="58" t="s">
        <v>149</v>
      </c>
      <c r="B23" s="128" t="s">
        <v>32</v>
      </c>
      <c r="C23" s="172" t="s">
        <v>33</v>
      </c>
      <c r="D23" s="150">
        <v>630569.19999999995</v>
      </c>
      <c r="E23" s="150">
        <v>628449.19999999995</v>
      </c>
      <c r="F23" s="150">
        <f t="shared" si="25"/>
        <v>637865.40500000014</v>
      </c>
      <c r="G23" s="150">
        <v>49971.546999999999</v>
      </c>
      <c r="H23" s="150">
        <v>86717.376000000004</v>
      </c>
      <c r="I23" s="150">
        <v>20365.258999999998</v>
      </c>
      <c r="J23" s="150">
        <v>51064.404999999999</v>
      </c>
      <c r="K23" s="150">
        <v>68607.803</v>
      </c>
      <c r="L23" s="150">
        <v>20252.617999999999</v>
      </c>
      <c r="M23" s="150">
        <v>66064.422999999995</v>
      </c>
      <c r="N23" s="150">
        <v>71026.414999999994</v>
      </c>
      <c r="O23" s="150">
        <v>22453.727999999999</v>
      </c>
      <c r="P23" s="150">
        <v>63802.694000000003</v>
      </c>
      <c r="Q23" s="150">
        <v>87964.869000000006</v>
      </c>
      <c r="R23" s="150">
        <v>29574.268</v>
      </c>
      <c r="S23" s="93">
        <f t="shared" si="20"/>
        <v>9416.2050000001909</v>
      </c>
      <c r="T23" s="151">
        <f t="shared" si="21"/>
        <v>101.49832396954284</v>
      </c>
      <c r="U23" s="150">
        <v>530041.33799999999</v>
      </c>
      <c r="V23" s="93">
        <f t="shared" si="19"/>
        <v>107824.06700000016</v>
      </c>
      <c r="W23" s="151">
        <f t="shared" si="24"/>
        <v>120.34257694066876</v>
      </c>
      <c r="Y23" s="86"/>
      <c r="Z23" s="87" t="e">
        <f>F23/#REF!*100</f>
        <v>#REF!</v>
      </c>
    </row>
    <row r="24" spans="1:26" s="83" customFormat="1" ht="36" customHeight="1" x14ac:dyDescent="0.25">
      <c r="A24" s="142">
        <v>6</v>
      </c>
      <c r="B24" s="131" t="s">
        <v>151</v>
      </c>
      <c r="C24" s="143" t="s">
        <v>152</v>
      </c>
      <c r="D24" s="147"/>
      <c r="E24" s="147"/>
      <c r="F24" s="147">
        <f t="shared" si="25"/>
        <v>0</v>
      </c>
      <c r="G24" s="147">
        <v>0</v>
      </c>
      <c r="H24" s="147">
        <v>0</v>
      </c>
      <c r="I24" s="147">
        <v>0</v>
      </c>
      <c r="J24" s="147">
        <v>0</v>
      </c>
      <c r="K24" s="147">
        <v>0</v>
      </c>
      <c r="L24" s="147">
        <v>0</v>
      </c>
      <c r="M24" s="147">
        <v>0</v>
      </c>
      <c r="N24" s="147">
        <v>0</v>
      </c>
      <c r="O24" s="147">
        <v>0</v>
      </c>
      <c r="P24" s="147">
        <v>0</v>
      </c>
      <c r="Q24" s="147">
        <v>0</v>
      </c>
      <c r="R24" s="147">
        <v>0</v>
      </c>
      <c r="S24" s="148">
        <f t="shared" si="20"/>
        <v>0</v>
      </c>
      <c r="T24" s="149"/>
      <c r="U24" s="147">
        <v>-1.8440000000000001</v>
      </c>
      <c r="V24" s="148">
        <f t="shared" si="19"/>
        <v>1.8440000000000001</v>
      </c>
      <c r="W24" s="149"/>
      <c r="Y24" s="102"/>
      <c r="Z24" s="132"/>
    </row>
    <row r="25" spans="1:26" s="144" customFormat="1" ht="55.5" customHeight="1" x14ac:dyDescent="0.25">
      <c r="A25" s="142">
        <f>A24+1</f>
        <v>7</v>
      </c>
      <c r="B25" s="62" t="s">
        <v>44</v>
      </c>
      <c r="C25" s="143" t="s">
        <v>17</v>
      </c>
      <c r="D25" s="147">
        <v>450</v>
      </c>
      <c r="E25" s="147">
        <v>920</v>
      </c>
      <c r="F25" s="147">
        <f t="shared" si="25"/>
        <v>925.24099999999999</v>
      </c>
      <c r="G25" s="147">
        <v>10</v>
      </c>
      <c r="H25" s="147">
        <v>63.488</v>
      </c>
      <c r="I25" s="147">
        <v>19.899000000000001</v>
      </c>
      <c r="J25" s="147">
        <v>46.183</v>
      </c>
      <c r="K25" s="147">
        <v>83.956999999999994</v>
      </c>
      <c r="L25" s="147">
        <v>0</v>
      </c>
      <c r="M25" s="147">
        <v>23.704000000000001</v>
      </c>
      <c r="N25" s="147">
        <v>356.82100000000003</v>
      </c>
      <c r="O25" s="147">
        <v>6</v>
      </c>
      <c r="P25" s="147">
        <v>0.9</v>
      </c>
      <c r="Q25" s="147">
        <v>311.28899999999999</v>
      </c>
      <c r="R25" s="147">
        <v>3</v>
      </c>
      <c r="S25" s="148">
        <f t="shared" si="20"/>
        <v>5.2409999999999854</v>
      </c>
      <c r="T25" s="149">
        <f t="shared" si="21"/>
        <v>100.56967391304347</v>
      </c>
      <c r="U25" s="147">
        <v>442.02699999999999</v>
      </c>
      <c r="V25" s="148">
        <f t="shared" si="19"/>
        <v>483.214</v>
      </c>
      <c r="W25" s="149">
        <f t="shared" ref="W25:W31" si="31">F25/U25*100</f>
        <v>209.31775660762804</v>
      </c>
      <c r="X25" s="57">
        <f>100-W25</f>
        <v>-109.31775660762804</v>
      </c>
    </row>
    <row r="26" spans="1:26" s="144" customFormat="1" ht="36" customHeight="1" x14ac:dyDescent="0.25">
      <c r="A26" s="142">
        <f t="shared" ref="A26:A33" si="32">A25+1</f>
        <v>8</v>
      </c>
      <c r="B26" s="62" t="s">
        <v>72</v>
      </c>
      <c r="C26" s="143" t="s">
        <v>71</v>
      </c>
      <c r="D26" s="147">
        <v>12000</v>
      </c>
      <c r="E26" s="147">
        <v>17200</v>
      </c>
      <c r="F26" s="147">
        <f t="shared" si="25"/>
        <v>17207.643000000004</v>
      </c>
      <c r="G26" s="147">
        <v>432.791</v>
      </c>
      <c r="H26" s="147">
        <v>1371.345</v>
      </c>
      <c r="I26" s="147">
        <v>1459.3430000000001</v>
      </c>
      <c r="J26" s="147">
        <v>1608.9</v>
      </c>
      <c r="K26" s="147">
        <v>1657.4580000000001</v>
      </c>
      <c r="L26" s="147">
        <v>1243.4580000000001</v>
      </c>
      <c r="M26" s="147">
        <v>1327.6010000000001</v>
      </c>
      <c r="N26" s="147">
        <v>1662.588</v>
      </c>
      <c r="O26" s="147">
        <v>1645.6469999999999</v>
      </c>
      <c r="P26" s="147">
        <v>1791.912</v>
      </c>
      <c r="Q26" s="147">
        <v>1848.2370000000001</v>
      </c>
      <c r="R26" s="147">
        <v>1158.3630000000001</v>
      </c>
      <c r="S26" s="148">
        <f t="shared" si="20"/>
        <v>7.6430000000036671</v>
      </c>
      <c r="T26" s="149">
        <f t="shared" si="21"/>
        <v>100.04443604651165</v>
      </c>
      <c r="U26" s="147">
        <v>34967.103999999999</v>
      </c>
      <c r="V26" s="148">
        <f t="shared" si="19"/>
        <v>-17759.460999999996</v>
      </c>
      <c r="W26" s="149">
        <f t="shared" si="31"/>
        <v>49.210946951740709</v>
      </c>
    </row>
    <row r="27" spans="1:26" s="144" customFormat="1" ht="36" customHeight="1" x14ac:dyDescent="0.25">
      <c r="A27" s="142">
        <f t="shared" si="32"/>
        <v>9</v>
      </c>
      <c r="B27" s="62" t="s">
        <v>8</v>
      </c>
      <c r="C27" s="143" t="s">
        <v>18</v>
      </c>
      <c r="D27" s="147">
        <v>5.5</v>
      </c>
      <c r="E27" s="147">
        <v>6</v>
      </c>
      <c r="F27" s="147">
        <f t="shared" si="25"/>
        <v>6.04</v>
      </c>
      <c r="G27" s="147">
        <v>0</v>
      </c>
      <c r="H27" s="147">
        <v>0.38</v>
      </c>
      <c r="I27" s="147">
        <v>0</v>
      </c>
      <c r="J27" s="147">
        <v>0</v>
      </c>
      <c r="K27" s="147">
        <v>5.66</v>
      </c>
      <c r="L27" s="147">
        <v>0</v>
      </c>
      <c r="M27" s="147">
        <v>0</v>
      </c>
      <c r="N27" s="147">
        <v>0</v>
      </c>
      <c r="O27" s="147">
        <v>0</v>
      </c>
      <c r="P27" s="147">
        <v>0</v>
      </c>
      <c r="Q27" s="147">
        <v>0</v>
      </c>
      <c r="R27" s="147">
        <v>0</v>
      </c>
      <c r="S27" s="148">
        <f t="shared" si="20"/>
        <v>4.0000000000000036E-2</v>
      </c>
      <c r="T27" s="149">
        <f t="shared" si="21"/>
        <v>100.66666666666666</v>
      </c>
      <c r="U27" s="147">
        <v>5.9539999999999997</v>
      </c>
      <c r="V27" s="148">
        <f t="shared" si="19"/>
        <v>8.6000000000000298E-2</v>
      </c>
      <c r="W27" s="149">
        <f t="shared" si="31"/>
        <v>101.44440712126301</v>
      </c>
    </row>
    <row r="28" spans="1:26" s="144" customFormat="1" ht="66" customHeight="1" x14ac:dyDescent="0.25">
      <c r="A28" s="142">
        <f t="shared" si="32"/>
        <v>10</v>
      </c>
      <c r="B28" s="167" t="s">
        <v>94</v>
      </c>
      <c r="C28" s="79" t="s">
        <v>95</v>
      </c>
      <c r="D28" s="147">
        <v>4.5</v>
      </c>
      <c r="E28" s="147">
        <v>5.0999999999999996</v>
      </c>
      <c r="F28" s="147">
        <f t="shared" si="25"/>
        <v>5.1029999999999998</v>
      </c>
      <c r="G28" s="147">
        <v>0</v>
      </c>
      <c r="H28" s="147">
        <v>0</v>
      </c>
      <c r="I28" s="147">
        <v>0</v>
      </c>
      <c r="J28" s="147">
        <v>0</v>
      </c>
      <c r="K28" s="147">
        <v>0</v>
      </c>
      <c r="L28" s="147">
        <v>0</v>
      </c>
      <c r="M28" s="147">
        <v>0</v>
      </c>
      <c r="N28" s="147">
        <v>0</v>
      </c>
      <c r="O28" s="147">
        <v>0</v>
      </c>
      <c r="P28" s="147">
        <v>3.0000000000000001E-3</v>
      </c>
      <c r="Q28" s="147">
        <v>0</v>
      </c>
      <c r="R28" s="147">
        <v>5.0999999999999996</v>
      </c>
      <c r="S28" s="148">
        <f t="shared" si="20"/>
        <v>3.0000000000001137E-3</v>
      </c>
      <c r="T28" s="149">
        <f t="shared" si="21"/>
        <v>100.05882352941178</v>
      </c>
      <c r="U28" s="147">
        <v>4.4080000000000004</v>
      </c>
      <c r="V28" s="148">
        <f t="shared" si="19"/>
        <v>0.6949999999999994</v>
      </c>
      <c r="W28" s="149">
        <f t="shared" si="31"/>
        <v>115.76678765880217</v>
      </c>
    </row>
    <row r="29" spans="1:26" s="144" customFormat="1" ht="39.75" customHeight="1" x14ac:dyDescent="0.25">
      <c r="A29" s="142">
        <f t="shared" si="32"/>
        <v>11</v>
      </c>
      <c r="B29" s="156" t="s">
        <v>29</v>
      </c>
      <c r="C29" s="143" t="s">
        <v>24</v>
      </c>
      <c r="D29" s="147">
        <v>8804.73</v>
      </c>
      <c r="E29" s="147">
        <v>13304.73</v>
      </c>
      <c r="F29" s="147">
        <f t="shared" si="25"/>
        <v>13743.838999999998</v>
      </c>
      <c r="G29" s="147">
        <v>497.94799999999998</v>
      </c>
      <c r="H29" s="147">
        <v>694.71500000000003</v>
      </c>
      <c r="I29" s="147">
        <v>893.96699999999998</v>
      </c>
      <c r="J29" s="147">
        <v>1137.1980000000001</v>
      </c>
      <c r="K29" s="147">
        <v>904.77499999999998</v>
      </c>
      <c r="L29" s="147">
        <v>1296.52</v>
      </c>
      <c r="M29" s="147">
        <v>1252.164</v>
      </c>
      <c r="N29" s="147">
        <v>1440.2760000000001</v>
      </c>
      <c r="O29" s="147">
        <v>1612.7239999999999</v>
      </c>
      <c r="P29" s="147">
        <v>1387.9880000000001</v>
      </c>
      <c r="Q29" s="147">
        <v>1387.9580000000001</v>
      </c>
      <c r="R29" s="147">
        <v>1237.606</v>
      </c>
      <c r="S29" s="148">
        <f t="shared" si="20"/>
        <v>439.10899999999856</v>
      </c>
      <c r="T29" s="149">
        <f t="shared" si="21"/>
        <v>103.30039767811898</v>
      </c>
      <c r="U29" s="147">
        <v>6001.6299999999992</v>
      </c>
      <c r="V29" s="148">
        <f t="shared" si="19"/>
        <v>7742.2089999999989</v>
      </c>
      <c r="W29" s="149">
        <f t="shared" si="31"/>
        <v>229.00177118549459</v>
      </c>
      <c r="X29" s="57">
        <f>100-W29</f>
        <v>-129.00177118549459</v>
      </c>
    </row>
    <row r="30" spans="1:26" s="144" customFormat="1" ht="50.25" customHeight="1" x14ac:dyDescent="0.25">
      <c r="A30" s="142">
        <f t="shared" si="32"/>
        <v>12</v>
      </c>
      <c r="B30" s="156" t="s">
        <v>83</v>
      </c>
      <c r="C30" s="143" t="s">
        <v>82</v>
      </c>
      <c r="D30" s="147">
        <v>410</v>
      </c>
      <c r="E30" s="147">
        <v>547</v>
      </c>
      <c r="F30" s="147">
        <f t="shared" si="25"/>
        <v>547.85699999999997</v>
      </c>
      <c r="G30" s="147">
        <v>14.6</v>
      </c>
      <c r="H30" s="147">
        <v>13.6</v>
      </c>
      <c r="I30" s="147">
        <v>25.3</v>
      </c>
      <c r="J30" s="147">
        <v>43.42</v>
      </c>
      <c r="K30" s="147">
        <v>27.8</v>
      </c>
      <c r="L30" s="147">
        <v>70.8</v>
      </c>
      <c r="M30" s="147">
        <v>93.8</v>
      </c>
      <c r="N30" s="147">
        <v>69</v>
      </c>
      <c r="O30" s="147">
        <v>31.8</v>
      </c>
      <c r="P30" s="147">
        <v>62</v>
      </c>
      <c r="Q30" s="147">
        <v>74</v>
      </c>
      <c r="R30" s="147">
        <v>21.736999999999998</v>
      </c>
      <c r="S30" s="148">
        <f t="shared" si="20"/>
        <v>0.8569999999999709</v>
      </c>
      <c r="T30" s="149">
        <f t="shared" si="21"/>
        <v>100.15667276051188</v>
      </c>
      <c r="U30" s="147">
        <v>426.755</v>
      </c>
      <c r="V30" s="148">
        <f t="shared" si="19"/>
        <v>121.10199999999998</v>
      </c>
      <c r="W30" s="149">
        <f t="shared" si="31"/>
        <v>128.37740624011437</v>
      </c>
    </row>
    <row r="31" spans="1:26" s="144" customFormat="1" ht="36.75" customHeight="1" x14ac:dyDescent="0.25">
      <c r="A31" s="142">
        <f t="shared" si="32"/>
        <v>13</v>
      </c>
      <c r="B31" s="156" t="s">
        <v>116</v>
      </c>
      <c r="C31" s="143" t="s">
        <v>117</v>
      </c>
      <c r="D31" s="147">
        <v>15000</v>
      </c>
      <c r="E31" s="147">
        <v>17195.599999999999</v>
      </c>
      <c r="F31" s="147">
        <f t="shared" si="25"/>
        <v>17797.819999999996</v>
      </c>
      <c r="G31" s="147">
        <v>1342.5129999999999</v>
      </c>
      <c r="H31" s="147">
        <v>1648.6110000000001</v>
      </c>
      <c r="I31" s="147">
        <v>1521.1489999999999</v>
      </c>
      <c r="J31" s="147">
        <v>1266.5989999999999</v>
      </c>
      <c r="K31" s="147">
        <v>1452.096</v>
      </c>
      <c r="L31" s="147">
        <v>1385.58</v>
      </c>
      <c r="M31" s="147">
        <v>1432.884</v>
      </c>
      <c r="N31" s="147">
        <v>1586.3889999999999</v>
      </c>
      <c r="O31" s="147">
        <v>1495.251</v>
      </c>
      <c r="P31" s="147">
        <v>1548.492</v>
      </c>
      <c r="Q31" s="147">
        <v>1484.434</v>
      </c>
      <c r="R31" s="147">
        <v>1633.8219999999999</v>
      </c>
      <c r="S31" s="148">
        <f t="shared" si="20"/>
        <v>602.21999999999753</v>
      </c>
      <c r="T31" s="149">
        <f t="shared" si="21"/>
        <v>103.50217497499359</v>
      </c>
      <c r="U31" s="147">
        <v>14364.706999999999</v>
      </c>
      <c r="V31" s="148">
        <f t="shared" si="19"/>
        <v>3433.1129999999976</v>
      </c>
      <c r="W31" s="149">
        <f t="shared" si="31"/>
        <v>123.89963818962681</v>
      </c>
    </row>
    <row r="32" spans="1:26" s="144" customFormat="1" ht="66" customHeight="1" x14ac:dyDescent="0.25">
      <c r="A32" s="142">
        <f t="shared" si="32"/>
        <v>14</v>
      </c>
      <c r="B32" s="156" t="s">
        <v>165</v>
      </c>
      <c r="C32" s="143" t="s">
        <v>164</v>
      </c>
      <c r="D32" s="147">
        <v>0</v>
      </c>
      <c r="E32" s="147">
        <v>36.4</v>
      </c>
      <c r="F32" s="147">
        <f t="shared" si="25"/>
        <v>36.999999999999993</v>
      </c>
      <c r="G32" s="147">
        <v>0</v>
      </c>
      <c r="H32" s="147">
        <v>0</v>
      </c>
      <c r="I32" s="147">
        <v>3.3180000000000001</v>
      </c>
      <c r="J32" s="147">
        <v>1.0720000000000001</v>
      </c>
      <c r="K32" s="147">
        <v>2.61</v>
      </c>
      <c r="L32" s="147">
        <v>1.2</v>
      </c>
      <c r="M32" s="147">
        <v>7.2</v>
      </c>
      <c r="N32" s="147">
        <v>7.2</v>
      </c>
      <c r="O32" s="147">
        <v>1.2</v>
      </c>
      <c r="P32" s="147">
        <v>2.4</v>
      </c>
      <c r="Q32" s="147">
        <v>3</v>
      </c>
      <c r="R32" s="147">
        <v>7.8</v>
      </c>
      <c r="S32" s="148">
        <f t="shared" si="20"/>
        <v>0.59999999999999432</v>
      </c>
      <c r="T32" s="149">
        <f t="shared" si="21"/>
        <v>101.64835164835165</v>
      </c>
      <c r="U32" s="147">
        <v>0</v>
      </c>
      <c r="V32" s="148">
        <f t="shared" si="19"/>
        <v>36.999999999999993</v>
      </c>
      <c r="W32" s="149"/>
    </row>
    <row r="33" spans="1:30" s="144" customFormat="1" ht="36" customHeight="1" x14ac:dyDescent="0.25">
      <c r="A33" s="142">
        <f t="shared" si="32"/>
        <v>15</v>
      </c>
      <c r="B33" s="156" t="s">
        <v>85</v>
      </c>
      <c r="C33" s="143" t="s">
        <v>84</v>
      </c>
      <c r="D33" s="147">
        <f>SUM(D34:D37)</f>
        <v>27762.799999999999</v>
      </c>
      <c r="E33" s="147">
        <f>SUM(E34:E37)</f>
        <v>32404.799999999999</v>
      </c>
      <c r="F33" s="147">
        <f t="shared" si="25"/>
        <v>33483.949999999997</v>
      </c>
      <c r="G33" s="147">
        <f t="shared" ref="G33" si="33">SUM(G34:G37)</f>
        <v>2016.3869999999997</v>
      </c>
      <c r="H33" s="147">
        <f t="shared" ref="H33:Q33" si="34">SUM(H34:H37)</f>
        <v>2147.1390000000001</v>
      </c>
      <c r="I33" s="147">
        <f t="shared" si="34"/>
        <v>2556.277</v>
      </c>
      <c r="J33" s="147">
        <f t="shared" si="34"/>
        <v>2848.3900000000003</v>
      </c>
      <c r="K33" s="147">
        <f t="shared" si="34"/>
        <v>2767.8540000000003</v>
      </c>
      <c r="L33" s="147">
        <f t="shared" si="34"/>
        <v>3005.6840000000002</v>
      </c>
      <c r="M33" s="147">
        <f t="shared" si="34"/>
        <v>3450.6730000000002</v>
      </c>
      <c r="N33" s="147">
        <f t="shared" si="34"/>
        <v>3110.4269999999997</v>
      </c>
      <c r="O33" s="147">
        <f t="shared" si="34"/>
        <v>2951.96</v>
      </c>
      <c r="P33" s="147">
        <f t="shared" si="34"/>
        <v>2681.6709999999998</v>
      </c>
      <c r="Q33" s="147">
        <f t="shared" si="34"/>
        <v>2827.2079999999996</v>
      </c>
      <c r="R33" s="147">
        <f>SUM(R34:R37)</f>
        <v>3120.28</v>
      </c>
      <c r="S33" s="148">
        <f t="shared" si="20"/>
        <v>1079.1499999999978</v>
      </c>
      <c r="T33" s="149">
        <f t="shared" si="21"/>
        <v>103.33021651113414</v>
      </c>
      <c r="U33" s="147">
        <f t="shared" ref="U33" si="35">SUM(U34:U37)</f>
        <v>24998.991999999995</v>
      </c>
      <c r="V33" s="148">
        <f t="shared" si="19"/>
        <v>8484.9580000000024</v>
      </c>
      <c r="W33" s="149">
        <f t="shared" ref="W33:W39" si="36">F33/U33*100</f>
        <v>133.94120050920455</v>
      </c>
    </row>
    <row r="34" spans="1:30" s="61" customFormat="1" ht="39" x14ac:dyDescent="0.25">
      <c r="A34" s="58" t="s">
        <v>166</v>
      </c>
      <c r="B34" s="94" t="s">
        <v>77</v>
      </c>
      <c r="C34" s="172" t="s">
        <v>76</v>
      </c>
      <c r="D34" s="150">
        <v>1300</v>
      </c>
      <c r="E34" s="150">
        <v>1420</v>
      </c>
      <c r="F34" s="150">
        <f t="shared" si="25"/>
        <v>1462.7470000000001</v>
      </c>
      <c r="G34" s="150">
        <v>91.153999999999996</v>
      </c>
      <c r="H34" s="150">
        <v>123.645</v>
      </c>
      <c r="I34" s="150">
        <v>141.91800000000001</v>
      </c>
      <c r="J34" s="150">
        <v>141.23099999999999</v>
      </c>
      <c r="K34" s="150">
        <v>108.44</v>
      </c>
      <c r="L34" s="150">
        <v>153.00200000000001</v>
      </c>
      <c r="M34" s="150">
        <v>113.806</v>
      </c>
      <c r="N34" s="150">
        <v>151.93</v>
      </c>
      <c r="O34" s="150">
        <v>128.95099999999999</v>
      </c>
      <c r="P34" s="150">
        <v>74.247</v>
      </c>
      <c r="Q34" s="150">
        <v>104.709</v>
      </c>
      <c r="R34" s="150">
        <v>129.714</v>
      </c>
      <c r="S34" s="93">
        <f t="shared" si="20"/>
        <v>42.747000000000071</v>
      </c>
      <c r="T34" s="151">
        <f t="shared" si="21"/>
        <v>103.01035211267606</v>
      </c>
      <c r="U34" s="150">
        <v>1187.4920000000002</v>
      </c>
      <c r="V34" s="93">
        <f t="shared" si="19"/>
        <v>275.25499999999988</v>
      </c>
      <c r="W34" s="151">
        <f t="shared" si="36"/>
        <v>123.17952457784978</v>
      </c>
      <c r="X34" s="151">
        <f>W34-100</f>
        <v>23.179524577849776</v>
      </c>
      <c r="Y34" s="59"/>
    </row>
    <row r="35" spans="1:30" s="61" customFormat="1" ht="36.75" customHeight="1" x14ac:dyDescent="0.25">
      <c r="A35" s="58" t="s">
        <v>167</v>
      </c>
      <c r="B35" s="95" t="s">
        <v>58</v>
      </c>
      <c r="C35" s="50" t="s">
        <v>59</v>
      </c>
      <c r="D35" s="150">
        <v>24922.799999999999</v>
      </c>
      <c r="E35" s="150">
        <v>29722.799999999999</v>
      </c>
      <c r="F35" s="150">
        <f t="shared" si="25"/>
        <v>30712.823000000004</v>
      </c>
      <c r="G35" s="150">
        <v>1816.0039999999999</v>
      </c>
      <c r="H35" s="150">
        <v>1889.204</v>
      </c>
      <c r="I35" s="150">
        <v>2281.4290000000001</v>
      </c>
      <c r="J35" s="150">
        <v>2605.2289999999998</v>
      </c>
      <c r="K35" s="150">
        <v>2552.5940000000001</v>
      </c>
      <c r="L35" s="150">
        <v>2747.3620000000001</v>
      </c>
      <c r="M35" s="150">
        <v>3191.1350000000002</v>
      </c>
      <c r="N35" s="150">
        <v>2869.6509999999998</v>
      </c>
      <c r="O35" s="150">
        <v>2747.9490000000001</v>
      </c>
      <c r="P35" s="150">
        <v>2520.5340000000001</v>
      </c>
      <c r="Q35" s="150">
        <v>2619.6689999999999</v>
      </c>
      <c r="R35" s="150">
        <v>2872.0630000000001</v>
      </c>
      <c r="S35" s="93">
        <f t="shared" si="20"/>
        <v>990.02300000000469</v>
      </c>
      <c r="T35" s="151">
        <f t="shared" si="21"/>
        <v>103.33085375536626</v>
      </c>
      <c r="U35" s="150">
        <v>22348.656999999999</v>
      </c>
      <c r="V35" s="93">
        <f t="shared" si="19"/>
        <v>8364.1660000000047</v>
      </c>
      <c r="W35" s="151">
        <f t="shared" si="36"/>
        <v>137.42581041894377</v>
      </c>
      <c r="X35" s="151">
        <f>W35-100</f>
        <v>37.425810418943769</v>
      </c>
      <c r="Y35" s="60"/>
    </row>
    <row r="36" spans="1:30" s="61" customFormat="1" ht="39" x14ac:dyDescent="0.25">
      <c r="A36" s="58" t="s">
        <v>168</v>
      </c>
      <c r="B36" s="95" t="s">
        <v>81</v>
      </c>
      <c r="C36" s="50" t="s">
        <v>78</v>
      </c>
      <c r="D36" s="150">
        <v>1400</v>
      </c>
      <c r="E36" s="150">
        <v>1175</v>
      </c>
      <c r="F36" s="150">
        <f t="shared" si="25"/>
        <v>1211.3799999999999</v>
      </c>
      <c r="G36" s="150">
        <v>106.899</v>
      </c>
      <c r="H36" s="150">
        <v>124.08</v>
      </c>
      <c r="I36" s="150">
        <v>126.35</v>
      </c>
      <c r="J36" s="150">
        <v>100.11</v>
      </c>
      <c r="K36" s="150">
        <v>101.36</v>
      </c>
      <c r="L36" s="150">
        <v>96.92</v>
      </c>
      <c r="M36" s="150">
        <v>134.38200000000001</v>
      </c>
      <c r="N36" s="150">
        <v>72.406000000000006</v>
      </c>
      <c r="O36" s="150">
        <v>72.900000000000006</v>
      </c>
      <c r="P36" s="150">
        <v>78.94</v>
      </c>
      <c r="Q36" s="150">
        <v>97.16</v>
      </c>
      <c r="R36" s="150">
        <v>99.873000000000005</v>
      </c>
      <c r="S36" s="93">
        <f t="shared" si="20"/>
        <v>36.379999999999882</v>
      </c>
      <c r="T36" s="151">
        <f t="shared" si="21"/>
        <v>103.09617021276594</v>
      </c>
      <c r="U36" s="150">
        <v>1324.509</v>
      </c>
      <c r="V36" s="93">
        <f t="shared" si="19"/>
        <v>-113.12900000000013</v>
      </c>
      <c r="W36" s="151">
        <f t="shared" si="36"/>
        <v>91.458797184466079</v>
      </c>
    </row>
    <row r="37" spans="1:30" s="61" customFormat="1" ht="78" x14ac:dyDescent="0.25">
      <c r="A37" s="58" t="s">
        <v>169</v>
      </c>
      <c r="B37" s="96" t="s">
        <v>80</v>
      </c>
      <c r="C37" s="50" t="s">
        <v>79</v>
      </c>
      <c r="D37" s="150">
        <v>140</v>
      </c>
      <c r="E37" s="150">
        <v>87</v>
      </c>
      <c r="F37" s="150">
        <f t="shared" si="25"/>
        <v>97</v>
      </c>
      <c r="G37" s="150">
        <v>2.33</v>
      </c>
      <c r="H37" s="150">
        <v>10.210000000000001</v>
      </c>
      <c r="I37" s="150">
        <v>6.58</v>
      </c>
      <c r="J37" s="150">
        <v>1.82</v>
      </c>
      <c r="K37" s="150">
        <v>5.46</v>
      </c>
      <c r="L37" s="150">
        <v>8.4</v>
      </c>
      <c r="M37" s="150">
        <v>11.35</v>
      </c>
      <c r="N37" s="150">
        <v>16.440000000000001</v>
      </c>
      <c r="O37" s="150">
        <v>2.16</v>
      </c>
      <c r="P37" s="150">
        <v>7.95</v>
      </c>
      <c r="Q37" s="150">
        <v>5.67</v>
      </c>
      <c r="R37" s="150">
        <v>18.63</v>
      </c>
      <c r="S37" s="93">
        <f t="shared" si="20"/>
        <v>10</v>
      </c>
      <c r="T37" s="151">
        <f t="shared" si="21"/>
        <v>111.49425287356323</v>
      </c>
      <c r="U37" s="150">
        <v>138.334</v>
      </c>
      <c r="V37" s="93">
        <f t="shared" si="19"/>
        <v>-41.334000000000003</v>
      </c>
      <c r="W37" s="151">
        <f t="shared" si="36"/>
        <v>70.120143999306023</v>
      </c>
    </row>
    <row r="38" spans="1:30" s="144" customFormat="1" ht="39" x14ac:dyDescent="0.25">
      <c r="A38" s="142">
        <v>16</v>
      </c>
      <c r="B38" s="167" t="s">
        <v>215</v>
      </c>
      <c r="C38" s="143" t="s">
        <v>19</v>
      </c>
      <c r="D38" s="147">
        <v>12000</v>
      </c>
      <c r="E38" s="147">
        <v>13390</v>
      </c>
      <c r="F38" s="147">
        <f t="shared" si="25"/>
        <v>13410.424000000001</v>
      </c>
      <c r="G38" s="147">
        <v>886.822</v>
      </c>
      <c r="H38" s="147">
        <v>956.88</v>
      </c>
      <c r="I38" s="147">
        <v>1008.902</v>
      </c>
      <c r="J38" s="147">
        <v>874.19399999999996</v>
      </c>
      <c r="K38" s="147">
        <v>1016.393</v>
      </c>
      <c r="L38" s="147">
        <v>1026.453</v>
      </c>
      <c r="M38" s="147">
        <v>1010.407</v>
      </c>
      <c r="N38" s="147">
        <v>854.18</v>
      </c>
      <c r="O38" s="147">
        <v>1384.8119999999999</v>
      </c>
      <c r="P38" s="147">
        <v>1156.1949999999999</v>
      </c>
      <c r="Q38" s="147">
        <v>1070.729</v>
      </c>
      <c r="R38" s="147">
        <v>2164.4569999999999</v>
      </c>
      <c r="S38" s="148">
        <f t="shared" si="20"/>
        <v>20.424000000000888</v>
      </c>
      <c r="T38" s="149">
        <f t="shared" si="21"/>
        <v>100.15253174010456</v>
      </c>
      <c r="U38" s="147">
        <v>10823.367999999999</v>
      </c>
      <c r="V38" s="148">
        <f t="shared" si="19"/>
        <v>2587.0560000000023</v>
      </c>
      <c r="W38" s="149">
        <f t="shared" si="36"/>
        <v>123.90250428517263</v>
      </c>
    </row>
    <row r="39" spans="1:30" s="144" customFormat="1" ht="36.75" customHeight="1" x14ac:dyDescent="0.25">
      <c r="A39" s="142">
        <f t="shared" ref="A39:A47" si="37">A38+1</f>
        <v>17</v>
      </c>
      <c r="B39" s="62" t="s">
        <v>52</v>
      </c>
      <c r="C39" s="143" t="s">
        <v>15</v>
      </c>
      <c r="D39" s="147">
        <v>600.5</v>
      </c>
      <c r="E39" s="147">
        <v>725.23500000000001</v>
      </c>
      <c r="F39" s="147">
        <f t="shared" si="25"/>
        <v>850.79899999999998</v>
      </c>
      <c r="G39" s="147">
        <v>33.802</v>
      </c>
      <c r="H39" s="147">
        <v>36.167000000000002</v>
      </c>
      <c r="I39" s="147">
        <v>43.429000000000002</v>
      </c>
      <c r="J39" s="147">
        <v>38.436999999999998</v>
      </c>
      <c r="K39" s="147">
        <v>36.195</v>
      </c>
      <c r="L39" s="147">
        <v>65.909000000000006</v>
      </c>
      <c r="M39" s="147">
        <v>47.518999999999998</v>
      </c>
      <c r="N39" s="147">
        <v>49.859000000000002</v>
      </c>
      <c r="O39" s="147">
        <v>44.279000000000003</v>
      </c>
      <c r="P39" s="147">
        <v>167.66300000000001</v>
      </c>
      <c r="Q39" s="147">
        <v>128.465</v>
      </c>
      <c r="R39" s="147">
        <v>159.07499999999999</v>
      </c>
      <c r="S39" s="148">
        <f t="shared" si="20"/>
        <v>125.56399999999996</v>
      </c>
      <c r="T39" s="149">
        <f t="shared" si="21"/>
        <v>117.31356043213579</v>
      </c>
      <c r="U39" s="147">
        <v>646.06999999999994</v>
      </c>
      <c r="V39" s="148">
        <f t="shared" ref="V39:V57" si="38">F39-U39</f>
        <v>204.72900000000004</v>
      </c>
      <c r="W39" s="149">
        <f t="shared" si="36"/>
        <v>131.68836194220441</v>
      </c>
      <c r="X39" s="57">
        <f>100-W39</f>
        <v>-31.688361942204409</v>
      </c>
    </row>
    <row r="40" spans="1:30" s="144" customFormat="1" ht="78" x14ac:dyDescent="0.25">
      <c r="A40" s="142">
        <f t="shared" si="37"/>
        <v>18</v>
      </c>
      <c r="B40" s="62" t="s">
        <v>102</v>
      </c>
      <c r="C40" s="143" t="s">
        <v>101</v>
      </c>
      <c r="D40" s="147">
        <v>2.5499999999999998</v>
      </c>
      <c r="E40" s="147">
        <v>2.5499999999999998</v>
      </c>
      <c r="F40" s="147">
        <f t="shared" si="25"/>
        <v>2.6</v>
      </c>
      <c r="G40" s="147">
        <v>0</v>
      </c>
      <c r="H40" s="147">
        <v>0</v>
      </c>
      <c r="I40" s="147">
        <v>0</v>
      </c>
      <c r="J40" s="147">
        <v>0</v>
      </c>
      <c r="K40" s="147">
        <v>0</v>
      </c>
      <c r="L40" s="147">
        <v>0</v>
      </c>
      <c r="M40" s="147">
        <v>0</v>
      </c>
      <c r="N40" s="147">
        <v>2.6</v>
      </c>
      <c r="O40" s="147">
        <v>0</v>
      </c>
      <c r="P40" s="147">
        <v>0</v>
      </c>
      <c r="Q40" s="147">
        <v>0</v>
      </c>
      <c r="R40" s="147">
        <v>0</v>
      </c>
      <c r="S40" s="148">
        <f t="shared" si="20"/>
        <v>5.0000000000000266E-2</v>
      </c>
      <c r="T40" s="149">
        <f t="shared" si="21"/>
        <v>101.96078431372551</v>
      </c>
      <c r="U40" s="147">
        <v>0</v>
      </c>
      <c r="V40" s="148">
        <f t="shared" si="38"/>
        <v>2.6</v>
      </c>
      <c r="W40" s="149"/>
    </row>
    <row r="41" spans="1:30" s="144" customFormat="1" ht="44.25" customHeight="1" x14ac:dyDescent="0.25">
      <c r="A41" s="142">
        <f t="shared" si="37"/>
        <v>19</v>
      </c>
      <c r="B41" s="82" t="s">
        <v>60</v>
      </c>
      <c r="C41" s="24" t="s">
        <v>61</v>
      </c>
      <c r="D41" s="147">
        <v>70</v>
      </c>
      <c r="E41" s="147">
        <v>410</v>
      </c>
      <c r="F41" s="147">
        <f t="shared" si="25"/>
        <v>418.779</v>
      </c>
      <c r="G41" s="147">
        <v>0</v>
      </c>
      <c r="H41" s="147">
        <v>0</v>
      </c>
      <c r="I41" s="147">
        <v>0</v>
      </c>
      <c r="J41" s="147">
        <v>0</v>
      </c>
      <c r="K41" s="147">
        <v>0</v>
      </c>
      <c r="L41" s="147">
        <v>230.22200000000001</v>
      </c>
      <c r="M41" s="147">
        <v>0</v>
      </c>
      <c r="N41" s="147">
        <v>0</v>
      </c>
      <c r="O41" s="147">
        <v>0</v>
      </c>
      <c r="P41" s="147">
        <v>0</v>
      </c>
      <c r="Q41" s="147">
        <v>0</v>
      </c>
      <c r="R41" s="147">
        <v>188.55699999999999</v>
      </c>
      <c r="S41" s="148">
        <f t="shared" si="20"/>
        <v>8.7789999999999964</v>
      </c>
      <c r="T41" s="149">
        <f t="shared" si="21"/>
        <v>102.14121951219512</v>
      </c>
      <c r="U41" s="147">
        <v>264.94299999999998</v>
      </c>
      <c r="V41" s="148">
        <f t="shared" si="38"/>
        <v>153.83600000000001</v>
      </c>
      <c r="W41" s="149">
        <f>F41/U41*100</f>
        <v>158.06380995157448</v>
      </c>
    </row>
    <row r="42" spans="1:30" s="144" customFormat="1" ht="44.25" customHeight="1" x14ac:dyDescent="0.25">
      <c r="A42" s="142">
        <f t="shared" si="37"/>
        <v>20</v>
      </c>
      <c r="B42" s="62" t="s">
        <v>8</v>
      </c>
      <c r="C42" s="143" t="s">
        <v>20</v>
      </c>
      <c r="D42" s="147">
        <v>1400</v>
      </c>
      <c r="E42" s="147">
        <v>1580</v>
      </c>
      <c r="F42" s="147">
        <f t="shared" si="25"/>
        <v>1666.0350000000001</v>
      </c>
      <c r="G42" s="147">
        <v>161.375</v>
      </c>
      <c r="H42" s="147">
        <v>156.322</v>
      </c>
      <c r="I42" s="147">
        <v>144.40100000000001</v>
      </c>
      <c r="J42" s="147">
        <v>126.51600000000001</v>
      </c>
      <c r="K42" s="147">
        <v>134.447</v>
      </c>
      <c r="L42" s="147">
        <v>125.53100000000001</v>
      </c>
      <c r="M42" s="147">
        <v>199.05099999999999</v>
      </c>
      <c r="N42" s="147">
        <v>144.816</v>
      </c>
      <c r="O42" s="147">
        <v>131.62100000000001</v>
      </c>
      <c r="P42" s="147">
        <v>106.602</v>
      </c>
      <c r="Q42" s="147">
        <v>113.014</v>
      </c>
      <c r="R42" s="147">
        <v>122.339</v>
      </c>
      <c r="S42" s="148">
        <f t="shared" si="20"/>
        <v>86.035000000000082</v>
      </c>
      <c r="T42" s="149">
        <f t="shared" si="21"/>
        <v>105.44525316455697</v>
      </c>
      <c r="U42" s="147">
        <v>43716.07</v>
      </c>
      <c r="V42" s="148">
        <f t="shared" si="38"/>
        <v>-42050.034999999996</v>
      </c>
      <c r="W42" s="149">
        <f>F42/U42*100</f>
        <v>3.8110356214545367</v>
      </c>
      <c r="AA42" s="144">
        <v>246438.04</v>
      </c>
    </row>
    <row r="43" spans="1:30" s="144" customFormat="1" ht="44.25" customHeight="1" x14ac:dyDescent="0.25">
      <c r="A43" s="142"/>
      <c r="B43" s="62" t="s">
        <v>196</v>
      </c>
      <c r="C43" s="143" t="s">
        <v>197</v>
      </c>
      <c r="D43" s="147"/>
      <c r="E43" s="147">
        <v>0</v>
      </c>
      <c r="F43" s="147">
        <f t="shared" si="25"/>
        <v>0</v>
      </c>
      <c r="G43" s="147">
        <v>0</v>
      </c>
      <c r="H43" s="147">
        <v>0</v>
      </c>
      <c r="I43" s="147">
        <v>0</v>
      </c>
      <c r="J43" s="147">
        <v>0</v>
      </c>
      <c r="K43" s="147">
        <v>0</v>
      </c>
      <c r="L43" s="147">
        <v>0</v>
      </c>
      <c r="M43" s="147">
        <v>0</v>
      </c>
      <c r="N43" s="147">
        <v>0</v>
      </c>
      <c r="O43" s="147">
        <v>0</v>
      </c>
      <c r="P43" s="147">
        <v>0</v>
      </c>
      <c r="Q43" s="147">
        <v>0</v>
      </c>
      <c r="R43" s="147">
        <v>0</v>
      </c>
      <c r="S43" s="148">
        <f t="shared" si="20"/>
        <v>0</v>
      </c>
      <c r="T43" s="149"/>
      <c r="U43" s="147">
        <v>0.30199999999999999</v>
      </c>
      <c r="V43" s="148">
        <f t="shared" si="38"/>
        <v>-0.30199999999999999</v>
      </c>
      <c r="W43" s="149"/>
    </row>
    <row r="44" spans="1:30" s="144" customFormat="1" ht="73.5" customHeight="1" x14ac:dyDescent="0.25">
      <c r="A44" s="142">
        <f>A42+1</f>
        <v>21</v>
      </c>
      <c r="B44" s="62" t="s">
        <v>162</v>
      </c>
      <c r="C44" s="143" t="s">
        <v>161</v>
      </c>
      <c r="D44" s="147">
        <v>0</v>
      </c>
      <c r="E44" s="147">
        <v>0</v>
      </c>
      <c r="F44" s="147">
        <f t="shared" si="25"/>
        <v>0</v>
      </c>
      <c r="G44" s="147">
        <v>0</v>
      </c>
      <c r="H44" s="147">
        <v>0</v>
      </c>
      <c r="I44" s="147">
        <v>0</v>
      </c>
      <c r="J44" s="147">
        <v>0</v>
      </c>
      <c r="K44" s="147">
        <v>0</v>
      </c>
      <c r="L44" s="147">
        <v>0</v>
      </c>
      <c r="M44" s="147">
        <v>0</v>
      </c>
      <c r="N44" s="147">
        <v>0</v>
      </c>
      <c r="O44" s="147">
        <v>0</v>
      </c>
      <c r="P44" s="147">
        <v>0</v>
      </c>
      <c r="Q44" s="147">
        <v>0</v>
      </c>
      <c r="R44" s="147">
        <v>0</v>
      </c>
      <c r="S44" s="148">
        <f t="shared" si="20"/>
        <v>0</v>
      </c>
      <c r="T44" s="149"/>
      <c r="U44" s="147">
        <v>87.876999999999995</v>
      </c>
      <c r="V44" s="148">
        <f t="shared" si="38"/>
        <v>-87.876999999999995</v>
      </c>
      <c r="W44" s="149"/>
    </row>
    <row r="45" spans="1:30" s="144" customFormat="1" ht="132" customHeight="1" x14ac:dyDescent="0.25">
      <c r="A45" s="142">
        <f t="shared" si="37"/>
        <v>22</v>
      </c>
      <c r="B45" s="62" t="s">
        <v>51</v>
      </c>
      <c r="C45" s="143" t="s">
        <v>45</v>
      </c>
      <c r="D45" s="147">
        <v>1000</v>
      </c>
      <c r="E45" s="147">
        <v>1105</v>
      </c>
      <c r="F45" s="147">
        <f t="shared" si="25"/>
        <v>1203.2919999999999</v>
      </c>
      <c r="G45" s="147">
        <v>2.294</v>
      </c>
      <c r="H45" s="147">
        <v>266.43900000000002</v>
      </c>
      <c r="I45" s="147">
        <v>61.570999999999998</v>
      </c>
      <c r="J45" s="147">
        <v>32.951000000000001</v>
      </c>
      <c r="K45" s="147">
        <v>52.198</v>
      </c>
      <c r="L45" s="147">
        <v>378.97300000000001</v>
      </c>
      <c r="M45" s="147">
        <v>2.1840000000000002</v>
      </c>
      <c r="N45" s="147">
        <v>131.89699999999999</v>
      </c>
      <c r="O45" s="147">
        <v>0</v>
      </c>
      <c r="P45" s="147">
        <v>30.433</v>
      </c>
      <c r="Q45" s="147">
        <v>102.384</v>
      </c>
      <c r="R45" s="147">
        <v>141.96799999999999</v>
      </c>
      <c r="S45" s="148">
        <f t="shared" si="20"/>
        <v>98.291999999999916</v>
      </c>
      <c r="T45" s="149">
        <f t="shared" si="21"/>
        <v>108.89520361990949</v>
      </c>
      <c r="U45" s="147">
        <v>1176.9180000000001</v>
      </c>
      <c r="V45" s="148">
        <f t="shared" si="38"/>
        <v>26.373999999999796</v>
      </c>
      <c r="W45" s="149">
        <f>F45/U45*100</f>
        <v>102.24093777136554</v>
      </c>
      <c r="Z45" s="144">
        <v>308493.50900000002</v>
      </c>
    </row>
    <row r="46" spans="1:30" s="144" customFormat="1" ht="73.5" customHeight="1" x14ac:dyDescent="0.25">
      <c r="A46" s="142">
        <f t="shared" si="37"/>
        <v>23</v>
      </c>
      <c r="B46" s="62" t="s">
        <v>132</v>
      </c>
      <c r="C46" s="143" t="s">
        <v>131</v>
      </c>
      <c r="D46" s="147">
        <v>15</v>
      </c>
      <c r="E46" s="147"/>
      <c r="F46" s="147">
        <f t="shared" si="25"/>
        <v>0</v>
      </c>
      <c r="G46" s="147">
        <v>0</v>
      </c>
      <c r="H46" s="147">
        <v>0</v>
      </c>
      <c r="I46" s="147">
        <v>0</v>
      </c>
      <c r="J46" s="147">
        <v>0</v>
      </c>
      <c r="K46" s="147">
        <v>0</v>
      </c>
      <c r="L46" s="147">
        <v>0</v>
      </c>
      <c r="M46" s="147">
        <v>0</v>
      </c>
      <c r="N46" s="147">
        <v>0</v>
      </c>
      <c r="O46" s="147">
        <v>0</v>
      </c>
      <c r="P46" s="147">
        <v>0</v>
      </c>
      <c r="Q46" s="147">
        <v>0</v>
      </c>
      <c r="R46" s="147">
        <v>0</v>
      </c>
      <c r="S46" s="148">
        <f t="shared" si="20"/>
        <v>0</v>
      </c>
      <c r="T46" s="149"/>
      <c r="U46" s="147">
        <v>54.053999999999988</v>
      </c>
      <c r="V46" s="148">
        <f t="shared" si="38"/>
        <v>-54.053999999999988</v>
      </c>
      <c r="W46" s="149">
        <f>F46/U46*100</f>
        <v>0</v>
      </c>
      <c r="Y46" s="56">
        <f>F48-F42</f>
        <v>3721206.2100000004</v>
      </c>
      <c r="Z46" s="56">
        <f>U48-U42</f>
        <v>3109964.3869999992</v>
      </c>
      <c r="AA46" s="57">
        <f>Y46/Z46</f>
        <v>1.1965430297385593</v>
      </c>
    </row>
    <row r="47" spans="1:30" s="144" customFormat="1" ht="39" x14ac:dyDescent="0.25">
      <c r="A47" s="142">
        <f t="shared" si="37"/>
        <v>24</v>
      </c>
      <c r="B47" s="62" t="s">
        <v>87</v>
      </c>
      <c r="C47" s="143" t="s">
        <v>86</v>
      </c>
      <c r="D47" s="147">
        <v>4.4000000000000004</v>
      </c>
      <c r="E47" s="147"/>
      <c r="F47" s="147">
        <f t="shared" si="25"/>
        <v>0</v>
      </c>
      <c r="G47" s="147">
        <v>0</v>
      </c>
      <c r="H47" s="147">
        <v>0</v>
      </c>
      <c r="I47" s="147">
        <v>0</v>
      </c>
      <c r="J47" s="147">
        <v>0</v>
      </c>
      <c r="K47" s="147">
        <v>0</v>
      </c>
      <c r="L47" s="147">
        <v>0</v>
      </c>
      <c r="M47" s="147">
        <v>0</v>
      </c>
      <c r="N47" s="147">
        <v>0</v>
      </c>
      <c r="O47" s="147">
        <v>0</v>
      </c>
      <c r="P47" s="147">
        <v>0</v>
      </c>
      <c r="Q47" s="147">
        <v>0</v>
      </c>
      <c r="R47" s="147">
        <v>0</v>
      </c>
      <c r="S47" s="148">
        <f t="shared" si="20"/>
        <v>0</v>
      </c>
      <c r="T47" s="149"/>
      <c r="U47" s="147">
        <v>3.6</v>
      </c>
      <c r="V47" s="148">
        <f t="shared" si="38"/>
        <v>-3.6</v>
      </c>
      <c r="W47" s="149"/>
    </row>
    <row r="48" spans="1:30" s="67" customFormat="1" ht="46.5" customHeight="1" x14ac:dyDescent="0.3">
      <c r="A48" s="63"/>
      <c r="B48" s="64" t="s">
        <v>157</v>
      </c>
      <c r="C48" s="145"/>
      <c r="D48" s="145">
        <f>D7+D8+D9+D14+D18+D25+D26+D27+D28+D29+D30+D31+D33+D38+D39+D40+D41+D42+D45+D47+D46</f>
        <v>3751621.3889999995</v>
      </c>
      <c r="E48" s="145">
        <f>E7+E8+E9+E14+E18+E25+E26+E27+E28+E29+E30+E31+E33+E38+E39+E40+E41+E42+E45+E47+E46+E32</f>
        <v>3631180.6169999992</v>
      </c>
      <c r="F48" s="145">
        <f t="shared" si="25"/>
        <v>3722872.2450000006</v>
      </c>
      <c r="G48" s="145">
        <f>G7+G8+G9+G14+G18+G25+G26+G27+G28+G29+G30+G31+G33+G38+G39+G40+G41+G42+G45+G47+G46+G32</f>
        <v>237295.24299999996</v>
      </c>
      <c r="H48" s="145">
        <f t="shared" ref="H48" si="39">H7+H8+H9+H14+H18+H25+H26+H27+H28+H29+H30+H31+H33+H38+H39+H40+H41+H42+H45+H47+H46+H32</f>
        <v>305315.033</v>
      </c>
      <c r="I48" s="145">
        <f t="shared" ref="I48:P48" si="40">I7+I8+I9+I14+I18+I25+I26+I27+I28+I29+I30+I31+I33+I38+I39+I40+I41+I42+I45+I47+I46+I32</f>
        <v>276790.2</v>
      </c>
      <c r="J48" s="145">
        <f t="shared" si="40"/>
        <v>310545.73499999999</v>
      </c>
      <c r="K48" s="145">
        <f t="shared" si="40"/>
        <v>308493.50899999996</v>
      </c>
      <c r="L48" s="145">
        <f t="shared" si="40"/>
        <v>294480.42599999998</v>
      </c>
      <c r="M48" s="145">
        <f t="shared" si="40"/>
        <v>323392.28900000005</v>
      </c>
      <c r="N48" s="145">
        <f t="shared" si="40"/>
        <v>310292.29000000004</v>
      </c>
      <c r="O48" s="145">
        <f t="shared" si="40"/>
        <v>270316.22699999996</v>
      </c>
      <c r="P48" s="145">
        <f t="shared" si="40"/>
        <v>375696.93600000016</v>
      </c>
      <c r="Q48" s="145">
        <f>Q7+Q8+Q9+Q14+Q18+Q25+Q26+Q27+Q28+Q29+Q30+Q31+Q33+Q38+Q39+Q40+Q41+Q42+Q45+Q47+Q46+Q32</f>
        <v>356500.22900000005</v>
      </c>
      <c r="R48" s="145">
        <f>R7+R8+R9+R14+R18+R25+R26+R27+R28+R29+R30+R31+R33+R38+R39+R40+R41+R42+R45+R47+R46+R32</f>
        <v>353754.12799999997</v>
      </c>
      <c r="S48" s="65">
        <f t="shared" si="20"/>
        <v>91691.628000001423</v>
      </c>
      <c r="T48" s="66">
        <f t="shared" si="21"/>
        <v>102.52511889854037</v>
      </c>
      <c r="U48" s="145">
        <f>U7+U8+U9+U14+U18+U25+U26+U27+U28+U29+U30+U31+U33+U38+U39+U40+U41+U42+U45+U47+U46+U24+U44+U43</f>
        <v>3153680.456999999</v>
      </c>
      <c r="V48" s="65">
        <f t="shared" si="38"/>
        <v>569191.78800000157</v>
      </c>
      <c r="W48" s="66">
        <f>F48/U48*100</f>
        <v>118.04849272971228</v>
      </c>
      <c r="X48" s="68">
        <v>3153680.4570000004</v>
      </c>
      <c r="Y48" s="68">
        <f>X48-U48</f>
        <v>0</v>
      </c>
      <c r="AB48" s="68" t="e">
        <f>#REF!-#REF!-#REF!</f>
        <v>#REF!</v>
      </c>
      <c r="AD48" s="67">
        <v>294547.38299999997</v>
      </c>
    </row>
    <row r="49" spans="1:27" s="7" customFormat="1" ht="57.75" customHeight="1" x14ac:dyDescent="0.25">
      <c r="A49" s="180">
        <v>1</v>
      </c>
      <c r="B49" s="140" t="s">
        <v>192</v>
      </c>
      <c r="C49" s="133" t="s">
        <v>191</v>
      </c>
      <c r="D49" s="152">
        <v>0</v>
      </c>
      <c r="E49" s="152">
        <v>3128.8</v>
      </c>
      <c r="F49" s="147">
        <f t="shared" si="25"/>
        <v>3093.848</v>
      </c>
      <c r="G49" s="147">
        <v>0</v>
      </c>
      <c r="H49" s="147">
        <v>0</v>
      </c>
      <c r="I49" s="147">
        <v>0</v>
      </c>
      <c r="J49" s="147">
        <v>0</v>
      </c>
      <c r="K49" s="147">
        <v>0</v>
      </c>
      <c r="L49" s="147">
        <v>0</v>
      </c>
      <c r="M49" s="147">
        <v>0</v>
      </c>
      <c r="N49" s="147">
        <v>0</v>
      </c>
      <c r="O49" s="147">
        <v>783</v>
      </c>
      <c r="P49" s="147">
        <v>313.2</v>
      </c>
      <c r="Q49" s="147">
        <v>939.6</v>
      </c>
      <c r="R49" s="147">
        <v>1058.048</v>
      </c>
      <c r="S49" s="148">
        <f t="shared" si="20"/>
        <v>-34.952000000000226</v>
      </c>
      <c r="T49" s="149">
        <f t="shared" si="21"/>
        <v>98.8828944004091</v>
      </c>
      <c r="U49" s="147">
        <v>0</v>
      </c>
      <c r="V49" s="148">
        <f t="shared" si="38"/>
        <v>3093.848</v>
      </c>
      <c r="W49" s="149"/>
      <c r="X49" s="32"/>
      <c r="Y49" s="32"/>
      <c r="Z49" s="32"/>
      <c r="AA49" s="34"/>
    </row>
    <row r="50" spans="1:27" s="7" customFormat="1" ht="36" customHeight="1" x14ac:dyDescent="0.25">
      <c r="A50" s="173">
        <f>A49+1</f>
        <v>2</v>
      </c>
      <c r="B50" s="140" t="s">
        <v>216</v>
      </c>
      <c r="C50" s="133" t="s">
        <v>53</v>
      </c>
      <c r="D50" s="152">
        <v>717803.4</v>
      </c>
      <c r="E50" s="152">
        <v>717803.4</v>
      </c>
      <c r="F50" s="147">
        <f t="shared" si="25"/>
        <v>717803.40000000014</v>
      </c>
      <c r="G50" s="147">
        <v>44804.3</v>
      </c>
      <c r="H50" s="147">
        <v>52312.800000000003</v>
      </c>
      <c r="I50" s="147">
        <v>54480.800000000003</v>
      </c>
      <c r="J50" s="147">
        <v>55203.4</v>
      </c>
      <c r="K50" s="147">
        <v>71101.8</v>
      </c>
      <c r="L50" s="147">
        <v>137361.60000000001</v>
      </c>
      <c r="M50" s="147">
        <v>24852.1</v>
      </c>
      <c r="N50" s="147">
        <v>28465.4</v>
      </c>
      <c r="O50" s="147">
        <v>59536.800000000003</v>
      </c>
      <c r="P50" s="147">
        <v>60262</v>
      </c>
      <c r="Q50" s="147">
        <v>62432.5</v>
      </c>
      <c r="R50" s="147">
        <v>66989.899999999994</v>
      </c>
      <c r="S50" s="148">
        <f t="shared" si="20"/>
        <v>0</v>
      </c>
      <c r="T50" s="149">
        <f t="shared" si="21"/>
        <v>100.00000000000003</v>
      </c>
      <c r="U50" s="147">
        <v>569199.5</v>
      </c>
      <c r="V50" s="148">
        <f t="shared" si="38"/>
        <v>148603.90000000014</v>
      </c>
      <c r="W50" s="149">
        <f>F50/U50*100</f>
        <v>126.10752469037661</v>
      </c>
      <c r="X50" s="32"/>
      <c r="Y50" s="32"/>
      <c r="Z50" s="32"/>
      <c r="AA50" s="34"/>
    </row>
    <row r="51" spans="1:27" s="7" customFormat="1" ht="36" customHeight="1" x14ac:dyDescent="0.25">
      <c r="A51" s="180">
        <f t="shared" ref="A51:A61" si="41">A50+1</f>
        <v>3</v>
      </c>
      <c r="B51" s="140" t="s">
        <v>217</v>
      </c>
      <c r="C51" s="133" t="s">
        <v>54</v>
      </c>
      <c r="D51" s="152">
        <v>0</v>
      </c>
      <c r="E51" s="152">
        <v>0</v>
      </c>
      <c r="F51" s="147">
        <f t="shared" si="25"/>
        <v>0</v>
      </c>
      <c r="G51" s="147">
        <v>0</v>
      </c>
      <c r="H51" s="147">
        <v>0</v>
      </c>
      <c r="I51" s="147">
        <v>0</v>
      </c>
      <c r="J51" s="147">
        <v>0</v>
      </c>
      <c r="K51" s="147">
        <v>0</v>
      </c>
      <c r="L51" s="147">
        <v>0</v>
      </c>
      <c r="M51" s="147">
        <v>0</v>
      </c>
      <c r="N51" s="147">
        <v>0</v>
      </c>
      <c r="O51" s="147">
        <v>0</v>
      </c>
      <c r="P51" s="147">
        <v>0</v>
      </c>
      <c r="Q51" s="147">
        <v>0</v>
      </c>
      <c r="R51" s="147">
        <v>0</v>
      </c>
      <c r="S51" s="148">
        <f t="shared" si="20"/>
        <v>0</v>
      </c>
      <c r="T51" s="149"/>
      <c r="U51" s="147">
        <v>72607.795999999988</v>
      </c>
      <c r="V51" s="148">
        <f t="shared" si="38"/>
        <v>-72607.795999999988</v>
      </c>
      <c r="W51" s="149">
        <f>F51/U51*100</f>
        <v>0</v>
      </c>
      <c r="X51" s="32"/>
      <c r="Y51" s="32"/>
      <c r="Z51" s="32"/>
      <c r="AA51" s="34"/>
    </row>
    <row r="52" spans="1:27" s="7" customFormat="1" ht="39" x14ac:dyDescent="0.25">
      <c r="A52" s="180">
        <f t="shared" si="41"/>
        <v>4</v>
      </c>
      <c r="B52" s="140" t="s">
        <v>218</v>
      </c>
      <c r="C52" s="133" t="s">
        <v>172</v>
      </c>
      <c r="D52" s="152">
        <v>0</v>
      </c>
      <c r="E52" s="152">
        <v>15000</v>
      </c>
      <c r="F52" s="147">
        <f t="shared" si="25"/>
        <v>15000</v>
      </c>
      <c r="G52" s="147">
        <v>0</v>
      </c>
      <c r="H52" s="147">
        <v>0</v>
      </c>
      <c r="I52" s="147">
        <v>0</v>
      </c>
      <c r="J52" s="147">
        <v>0</v>
      </c>
      <c r="K52" s="147">
        <v>3516</v>
      </c>
      <c r="L52" s="147">
        <v>1758</v>
      </c>
      <c r="M52" s="147">
        <v>1758</v>
      </c>
      <c r="N52" s="147">
        <v>1758</v>
      </c>
      <c r="O52" s="147">
        <v>1210</v>
      </c>
      <c r="P52" s="147">
        <v>0</v>
      </c>
      <c r="Q52" s="147">
        <v>2500</v>
      </c>
      <c r="R52" s="147">
        <v>2500</v>
      </c>
      <c r="S52" s="148">
        <f t="shared" si="20"/>
        <v>0</v>
      </c>
      <c r="T52" s="149">
        <f t="shared" si="21"/>
        <v>100</v>
      </c>
      <c r="U52" s="147">
        <v>0</v>
      </c>
      <c r="V52" s="148">
        <f t="shared" si="38"/>
        <v>15000</v>
      </c>
      <c r="W52" s="149"/>
      <c r="X52" s="32"/>
      <c r="Y52" s="32"/>
      <c r="Z52" s="32"/>
      <c r="AA52" s="34"/>
    </row>
    <row r="53" spans="1:27" s="7" customFormat="1" ht="68.25" customHeight="1" x14ac:dyDescent="0.25">
      <c r="A53" s="180">
        <f t="shared" si="41"/>
        <v>5</v>
      </c>
      <c r="B53" s="157" t="s">
        <v>219</v>
      </c>
      <c r="C53" s="174" t="s">
        <v>118</v>
      </c>
      <c r="D53" s="152">
        <v>0</v>
      </c>
      <c r="E53" s="152">
        <v>0</v>
      </c>
      <c r="F53" s="147">
        <f t="shared" si="25"/>
        <v>0</v>
      </c>
      <c r="G53" s="147">
        <v>0</v>
      </c>
      <c r="H53" s="147">
        <v>0</v>
      </c>
      <c r="I53" s="147">
        <v>0</v>
      </c>
      <c r="J53" s="147">
        <v>0</v>
      </c>
      <c r="K53" s="147">
        <v>0</v>
      </c>
      <c r="L53" s="147">
        <v>0</v>
      </c>
      <c r="M53" s="147">
        <v>0</v>
      </c>
      <c r="N53" s="147">
        <v>0</v>
      </c>
      <c r="O53" s="147">
        <v>0</v>
      </c>
      <c r="P53" s="147">
        <v>0</v>
      </c>
      <c r="Q53" s="147">
        <v>0</v>
      </c>
      <c r="R53" s="147">
        <v>0</v>
      </c>
      <c r="S53" s="148">
        <f t="shared" si="20"/>
        <v>0</v>
      </c>
      <c r="T53" s="149"/>
      <c r="U53" s="147">
        <v>13955.199999999999</v>
      </c>
      <c r="V53" s="148">
        <f t="shared" si="38"/>
        <v>-13955.199999999999</v>
      </c>
      <c r="W53" s="149">
        <f>F53/U53*100</f>
        <v>0</v>
      </c>
      <c r="X53" s="32"/>
      <c r="Y53" s="32"/>
      <c r="Z53" s="32"/>
      <c r="AA53" s="34"/>
    </row>
    <row r="54" spans="1:27" s="7" customFormat="1" ht="175.5" x14ac:dyDescent="0.25">
      <c r="A54" s="180">
        <f t="shared" si="41"/>
        <v>6</v>
      </c>
      <c r="B54" s="157" t="s">
        <v>178</v>
      </c>
      <c r="C54" s="177" t="s">
        <v>179</v>
      </c>
      <c r="D54" s="152"/>
      <c r="E54" s="152">
        <v>3202.9959700000004</v>
      </c>
      <c r="F54" s="147">
        <f t="shared" si="25"/>
        <v>3201.9740000000002</v>
      </c>
      <c r="G54" s="147">
        <v>0</v>
      </c>
      <c r="H54" s="147">
        <v>0</v>
      </c>
      <c r="I54" s="147">
        <v>0</v>
      </c>
      <c r="J54" s="147">
        <v>0</v>
      </c>
      <c r="K54" s="147">
        <v>0</v>
      </c>
      <c r="L54" s="147">
        <v>0</v>
      </c>
      <c r="M54" s="147">
        <v>0</v>
      </c>
      <c r="N54" s="147">
        <v>0</v>
      </c>
      <c r="O54" s="147">
        <v>3202.9960000000001</v>
      </c>
      <c r="P54" s="147">
        <v>0</v>
      </c>
      <c r="Q54" s="147">
        <v>0</v>
      </c>
      <c r="R54" s="147">
        <v>-1.022</v>
      </c>
      <c r="S54" s="148">
        <f t="shared" si="20"/>
        <v>-1.0219700000002376</v>
      </c>
      <c r="T54" s="149">
        <f t="shared" si="21"/>
        <v>99.968093309839531</v>
      </c>
      <c r="U54" s="147">
        <v>8155.8889999999992</v>
      </c>
      <c r="V54" s="148">
        <f t="shared" si="38"/>
        <v>-4953.9149999999991</v>
      </c>
      <c r="W54" s="149">
        <f>F54/U54*100</f>
        <v>39.259656427398667</v>
      </c>
      <c r="X54" s="32"/>
      <c r="Y54" s="32"/>
      <c r="Z54" s="32"/>
      <c r="AA54" s="34"/>
    </row>
    <row r="55" spans="1:27" s="7" customFormat="1" ht="195" x14ac:dyDescent="0.25">
      <c r="A55" s="180">
        <f t="shared" si="41"/>
        <v>7</v>
      </c>
      <c r="B55" s="157" t="s">
        <v>180</v>
      </c>
      <c r="C55" s="177" t="s">
        <v>181</v>
      </c>
      <c r="D55" s="152"/>
      <c r="E55" s="152">
        <v>1734.2819999999999</v>
      </c>
      <c r="F55" s="147">
        <f t="shared" si="25"/>
        <v>1734.2819999999999</v>
      </c>
      <c r="G55" s="147">
        <v>0</v>
      </c>
      <c r="H55" s="147">
        <v>0</v>
      </c>
      <c r="I55" s="147">
        <v>0</v>
      </c>
      <c r="J55" s="147">
        <v>0</v>
      </c>
      <c r="K55" s="147">
        <v>0</v>
      </c>
      <c r="L55" s="147">
        <v>0</v>
      </c>
      <c r="M55" s="147">
        <v>0</v>
      </c>
      <c r="N55" s="147">
        <v>0</v>
      </c>
      <c r="O55" s="147">
        <v>1387.925</v>
      </c>
      <c r="P55" s="147">
        <v>0</v>
      </c>
      <c r="Q55" s="147">
        <v>0</v>
      </c>
      <c r="R55" s="147">
        <v>346.35700000000003</v>
      </c>
      <c r="S55" s="148">
        <f t="shared" si="20"/>
        <v>0</v>
      </c>
      <c r="T55" s="149">
        <f t="shared" si="21"/>
        <v>100</v>
      </c>
      <c r="U55" s="147">
        <v>1040.9010000000001</v>
      </c>
      <c r="V55" s="148">
        <f t="shared" si="38"/>
        <v>693.38099999999986</v>
      </c>
      <c r="W55" s="149">
        <f>F55/U55*100</f>
        <v>166.61353961615944</v>
      </c>
      <c r="X55" s="32"/>
      <c r="Y55" s="32"/>
      <c r="Z55" s="32"/>
      <c r="AA55" s="34"/>
    </row>
    <row r="56" spans="1:27" s="7" customFormat="1" ht="273" x14ac:dyDescent="0.25">
      <c r="A56" s="180">
        <f t="shared" si="41"/>
        <v>8</v>
      </c>
      <c r="B56" s="157" t="s">
        <v>182</v>
      </c>
      <c r="C56" s="177" t="s">
        <v>183</v>
      </c>
      <c r="D56" s="152"/>
      <c r="E56" s="152">
        <v>4255.1479800000006</v>
      </c>
      <c r="F56" s="147">
        <f t="shared" si="25"/>
        <v>4255.1450000000004</v>
      </c>
      <c r="G56" s="147">
        <v>0</v>
      </c>
      <c r="H56" s="147">
        <v>0</v>
      </c>
      <c r="I56" s="147">
        <v>0</v>
      </c>
      <c r="J56" s="147">
        <v>0</v>
      </c>
      <c r="K56" s="147">
        <v>0</v>
      </c>
      <c r="L56" s="147">
        <v>0</v>
      </c>
      <c r="M56" s="147">
        <v>0</v>
      </c>
      <c r="N56" s="147">
        <v>0</v>
      </c>
      <c r="O56" s="147">
        <v>2654.32</v>
      </c>
      <c r="P56" s="147">
        <v>0</v>
      </c>
      <c r="Q56" s="147">
        <v>0</v>
      </c>
      <c r="R56" s="147">
        <v>1600.825</v>
      </c>
      <c r="S56" s="148">
        <f t="shared" si="20"/>
        <v>-2.9800000002069282E-3</v>
      </c>
      <c r="T56" s="149">
        <f t="shared" si="21"/>
        <v>99.999929967182936</v>
      </c>
      <c r="U56" s="147">
        <v>2855.4609999999998</v>
      </c>
      <c r="V56" s="148">
        <f t="shared" si="38"/>
        <v>1399.6840000000007</v>
      </c>
      <c r="W56" s="149">
        <f>F56/U56*100</f>
        <v>149.01779432462922</v>
      </c>
      <c r="X56" s="32"/>
      <c r="Y56" s="32"/>
      <c r="Z56" s="32"/>
      <c r="AA56" s="34"/>
    </row>
    <row r="57" spans="1:27" s="7" customFormat="1" ht="97.5" x14ac:dyDescent="0.25">
      <c r="A57" s="198">
        <f t="shared" si="41"/>
        <v>9</v>
      </c>
      <c r="B57" s="157" t="s">
        <v>211</v>
      </c>
      <c r="C57" s="195" t="s">
        <v>210</v>
      </c>
      <c r="D57" s="152">
        <v>0</v>
      </c>
      <c r="E57" s="152">
        <v>1329.7139999999999</v>
      </c>
      <c r="F57" s="147">
        <f t="shared" si="25"/>
        <v>1329.7139999999999</v>
      </c>
      <c r="G57" s="147">
        <v>0</v>
      </c>
      <c r="H57" s="147">
        <v>0</v>
      </c>
      <c r="I57" s="147">
        <v>0</v>
      </c>
      <c r="J57" s="147">
        <v>0</v>
      </c>
      <c r="K57" s="147">
        <v>0</v>
      </c>
      <c r="L57" s="147">
        <v>0</v>
      </c>
      <c r="M57" s="147">
        <v>0</v>
      </c>
      <c r="N57" s="147">
        <v>0</v>
      </c>
      <c r="O57" s="147">
        <v>0</v>
      </c>
      <c r="P57" s="147">
        <v>0</v>
      </c>
      <c r="Q57" s="147">
        <v>0</v>
      </c>
      <c r="R57" s="147">
        <v>1329.7139999999999</v>
      </c>
      <c r="S57" s="148">
        <f t="shared" ref="S57" si="42">F57-E57</f>
        <v>0</v>
      </c>
      <c r="T57" s="149">
        <f>F57/E57*100</f>
        <v>100</v>
      </c>
      <c r="U57" s="147">
        <v>0</v>
      </c>
      <c r="V57" s="148">
        <f t="shared" si="38"/>
        <v>1329.7139999999999</v>
      </c>
      <c r="W57" s="149"/>
      <c r="X57" s="32"/>
      <c r="Y57" s="32"/>
      <c r="Z57" s="32"/>
      <c r="AA57" s="34"/>
    </row>
    <row r="58" spans="1:27" s="7" customFormat="1" ht="39" x14ac:dyDescent="0.25">
      <c r="A58" s="198">
        <f t="shared" si="41"/>
        <v>10</v>
      </c>
      <c r="B58" s="157" t="s">
        <v>220</v>
      </c>
      <c r="C58" s="174" t="s">
        <v>127</v>
      </c>
      <c r="D58" s="152">
        <v>11474.77</v>
      </c>
      <c r="E58" s="152">
        <v>11474.77</v>
      </c>
      <c r="F58" s="147">
        <f t="shared" si="25"/>
        <v>10370.314</v>
      </c>
      <c r="G58" s="147">
        <v>716.24</v>
      </c>
      <c r="H58" s="147">
        <v>836.27099999999996</v>
      </c>
      <c r="I58" s="147">
        <v>870.92700000000002</v>
      </c>
      <c r="J58" s="147">
        <v>882.48</v>
      </c>
      <c r="K58" s="147">
        <v>1136.6300000000001</v>
      </c>
      <c r="L58" s="147">
        <v>2195.857</v>
      </c>
      <c r="M58" s="147">
        <v>397.28500000000003</v>
      </c>
      <c r="N58" s="147">
        <v>455.04599999999999</v>
      </c>
      <c r="O58" s="147">
        <v>951.75199999999995</v>
      </c>
      <c r="P58" s="147">
        <v>963.34500000000003</v>
      </c>
      <c r="Q58" s="147">
        <v>998.04300000000001</v>
      </c>
      <c r="R58" s="147">
        <v>-33.561999999999998</v>
      </c>
      <c r="S58" s="148">
        <f t="shared" si="20"/>
        <v>-1104.4560000000001</v>
      </c>
      <c r="T58" s="149">
        <f t="shared" si="21"/>
        <v>90.37491819008136</v>
      </c>
      <c r="U58" s="147">
        <v>6632.3249999999998</v>
      </c>
      <c r="V58" s="148">
        <f t="shared" ref="V58:V80" si="43">F58-U58</f>
        <v>3737.9890000000005</v>
      </c>
      <c r="W58" s="149">
        <f>F58/U58*100</f>
        <v>156.36016027561979</v>
      </c>
    </row>
    <row r="59" spans="1:27" s="7" customFormat="1" ht="39" x14ac:dyDescent="0.25">
      <c r="A59" s="185">
        <f t="shared" si="41"/>
        <v>11</v>
      </c>
      <c r="B59" s="157" t="s">
        <v>199</v>
      </c>
      <c r="C59" s="184" t="s">
        <v>198</v>
      </c>
      <c r="D59" s="152"/>
      <c r="E59" s="152">
        <v>20.524999999999999</v>
      </c>
      <c r="F59" s="147">
        <f t="shared" si="25"/>
        <v>20.524999999999999</v>
      </c>
      <c r="G59" s="147">
        <v>0</v>
      </c>
      <c r="H59" s="147">
        <v>0</v>
      </c>
      <c r="I59" s="147">
        <v>0</v>
      </c>
      <c r="J59" s="147">
        <v>0</v>
      </c>
      <c r="K59" s="147">
        <v>0</v>
      </c>
      <c r="L59" s="147">
        <v>0</v>
      </c>
      <c r="M59" s="147">
        <v>0</v>
      </c>
      <c r="N59" s="147">
        <v>0</v>
      </c>
      <c r="O59" s="147">
        <v>0</v>
      </c>
      <c r="P59" s="147">
        <v>0</v>
      </c>
      <c r="Q59" s="147">
        <v>20.524999999999999</v>
      </c>
      <c r="R59" s="147">
        <v>0</v>
      </c>
      <c r="S59" s="148">
        <f t="shared" si="20"/>
        <v>0</v>
      </c>
      <c r="T59" s="149">
        <f t="shared" si="21"/>
        <v>100</v>
      </c>
      <c r="U59" s="147">
        <v>0</v>
      </c>
      <c r="V59" s="148">
        <f t="shared" si="43"/>
        <v>20.524999999999999</v>
      </c>
      <c r="W59" s="149"/>
    </row>
    <row r="60" spans="1:27" s="7" customFormat="1" ht="58.5" x14ac:dyDescent="0.25">
      <c r="A60" s="185">
        <f t="shared" si="41"/>
        <v>12</v>
      </c>
      <c r="B60" s="157" t="s">
        <v>221</v>
      </c>
      <c r="C60" s="174">
        <v>41051200</v>
      </c>
      <c r="D60" s="152">
        <v>4100.6319999999996</v>
      </c>
      <c r="E60" s="152">
        <v>4100.6319999999996</v>
      </c>
      <c r="F60" s="147">
        <f t="shared" si="25"/>
        <v>4100.6319999999996</v>
      </c>
      <c r="G60" s="147">
        <v>203.22900000000001</v>
      </c>
      <c r="H60" s="147">
        <v>203.22900000000001</v>
      </c>
      <c r="I60" s="147">
        <v>203.22900000000001</v>
      </c>
      <c r="J60" s="147">
        <v>297.09899999999999</v>
      </c>
      <c r="K60" s="147">
        <v>226.691</v>
      </c>
      <c r="L60" s="147">
        <v>633.12699999999995</v>
      </c>
      <c r="M60" s="147">
        <v>226.691</v>
      </c>
      <c r="N60" s="147">
        <v>226.691</v>
      </c>
      <c r="O60" s="147">
        <v>226.691</v>
      </c>
      <c r="P60" s="147">
        <v>226.691</v>
      </c>
      <c r="Q60" s="147">
        <v>633.12699999999995</v>
      </c>
      <c r="R60" s="147">
        <v>794.13699999999994</v>
      </c>
      <c r="S60" s="148">
        <f t="shared" si="20"/>
        <v>0</v>
      </c>
      <c r="T60" s="149">
        <f t="shared" si="21"/>
        <v>100</v>
      </c>
      <c r="U60" s="147">
        <v>3599.1450000000004</v>
      </c>
      <c r="V60" s="148">
        <f t="shared" si="43"/>
        <v>501.48699999999917</v>
      </c>
      <c r="W60" s="149">
        <f>F60/U60*100</f>
        <v>113.93350365156168</v>
      </c>
    </row>
    <row r="61" spans="1:27" s="7" customFormat="1" ht="58.5" x14ac:dyDescent="0.25">
      <c r="A61" s="180">
        <f t="shared" si="41"/>
        <v>13</v>
      </c>
      <c r="B61" s="157" t="s">
        <v>222</v>
      </c>
      <c r="C61" s="174" t="s">
        <v>171</v>
      </c>
      <c r="D61" s="152">
        <v>0</v>
      </c>
      <c r="E61" s="152">
        <v>10198.897000000001</v>
      </c>
      <c r="F61" s="147">
        <f t="shared" si="25"/>
        <v>10171.432000000001</v>
      </c>
      <c r="G61" s="147">
        <v>0</v>
      </c>
      <c r="H61" s="147">
        <v>0</v>
      </c>
      <c r="I61" s="147">
        <v>0</v>
      </c>
      <c r="J61" s="147">
        <v>0</v>
      </c>
      <c r="K61" s="147">
        <v>0</v>
      </c>
      <c r="L61" s="147">
        <v>0</v>
      </c>
      <c r="M61" s="147">
        <v>0</v>
      </c>
      <c r="N61" s="147">
        <v>7302.4260000000004</v>
      </c>
      <c r="O61" s="147">
        <v>2896.471</v>
      </c>
      <c r="P61" s="147">
        <v>0</v>
      </c>
      <c r="Q61" s="147">
        <v>0</v>
      </c>
      <c r="R61" s="147">
        <v>-27.465</v>
      </c>
      <c r="S61" s="148">
        <f t="shared" si="20"/>
        <v>-27.465000000000146</v>
      </c>
      <c r="T61" s="149">
        <f t="shared" si="21"/>
        <v>99.730706173422476</v>
      </c>
      <c r="U61" s="147">
        <v>14374.734999999999</v>
      </c>
      <c r="V61" s="148">
        <f t="shared" si="43"/>
        <v>-4203.3029999999981</v>
      </c>
      <c r="W61" s="149">
        <f>F61/U61*100</f>
        <v>70.759092254570263</v>
      </c>
    </row>
    <row r="62" spans="1:27" s="7" customFormat="1" ht="39" x14ac:dyDescent="0.25">
      <c r="A62" s="205">
        <v>14</v>
      </c>
      <c r="B62" s="157" t="s">
        <v>226</v>
      </c>
      <c r="C62" s="206" t="s">
        <v>107</v>
      </c>
      <c r="D62" s="152">
        <f>SUM(D63:D64)</f>
        <v>0</v>
      </c>
      <c r="E62" s="152">
        <f>SUM(E63:E64)</f>
        <v>0</v>
      </c>
      <c r="F62" s="147">
        <f t="shared" si="25"/>
        <v>0</v>
      </c>
      <c r="G62" s="147">
        <f>SUM(G63:G64)</f>
        <v>0</v>
      </c>
      <c r="H62" s="147">
        <v>0</v>
      </c>
      <c r="I62" s="147">
        <v>0</v>
      </c>
      <c r="J62" s="147">
        <v>0</v>
      </c>
      <c r="K62" s="147">
        <v>0</v>
      </c>
      <c r="L62" s="147">
        <v>0</v>
      </c>
      <c r="M62" s="147">
        <v>0</v>
      </c>
      <c r="N62" s="147">
        <v>0</v>
      </c>
      <c r="O62" s="147">
        <v>0</v>
      </c>
      <c r="P62" s="147">
        <v>0</v>
      </c>
      <c r="Q62" s="147">
        <v>0</v>
      </c>
      <c r="R62" s="147">
        <v>0</v>
      </c>
      <c r="S62" s="148">
        <f t="shared" si="20"/>
        <v>0</v>
      </c>
      <c r="T62" s="149"/>
      <c r="U62" s="147">
        <v>5611.1929999999993</v>
      </c>
      <c r="V62" s="148">
        <f t="shared" si="43"/>
        <v>-5611.1929999999993</v>
      </c>
      <c r="W62" s="149"/>
    </row>
    <row r="63" spans="1:27" s="31" customFormat="1" ht="58.5" x14ac:dyDescent="0.25">
      <c r="A63" s="205"/>
      <c r="B63" s="158" t="s">
        <v>93</v>
      </c>
      <c r="C63" s="206"/>
      <c r="D63" s="153">
        <v>0</v>
      </c>
      <c r="E63" s="153">
        <v>0</v>
      </c>
      <c r="F63" s="150">
        <f t="shared" si="25"/>
        <v>0</v>
      </c>
      <c r="G63" s="150">
        <v>0</v>
      </c>
      <c r="H63" s="150">
        <v>0</v>
      </c>
      <c r="I63" s="150">
        <v>0</v>
      </c>
      <c r="J63" s="150">
        <v>0</v>
      </c>
      <c r="K63" s="150">
        <v>0</v>
      </c>
      <c r="L63" s="150">
        <v>0</v>
      </c>
      <c r="M63" s="150">
        <v>0</v>
      </c>
      <c r="N63" s="150">
        <v>0</v>
      </c>
      <c r="O63" s="150">
        <v>0</v>
      </c>
      <c r="P63" s="150">
        <v>0</v>
      </c>
      <c r="Q63" s="150">
        <v>0</v>
      </c>
      <c r="R63" s="150">
        <v>0</v>
      </c>
      <c r="S63" s="93">
        <f t="shared" si="20"/>
        <v>0</v>
      </c>
      <c r="T63" s="151"/>
      <c r="U63" s="150">
        <v>3462.7930000000001</v>
      </c>
      <c r="V63" s="93">
        <f t="shared" si="43"/>
        <v>-3462.7930000000001</v>
      </c>
      <c r="W63" s="151"/>
    </row>
    <row r="64" spans="1:27" s="31" customFormat="1" ht="23.25" x14ac:dyDescent="0.25">
      <c r="A64" s="205"/>
      <c r="B64" s="158" t="s">
        <v>103</v>
      </c>
      <c r="C64" s="206"/>
      <c r="D64" s="153">
        <v>0</v>
      </c>
      <c r="E64" s="153">
        <f t="shared" ref="E64" si="44">D64</f>
        <v>0</v>
      </c>
      <c r="F64" s="150">
        <f t="shared" si="25"/>
        <v>0</v>
      </c>
      <c r="G64" s="150">
        <v>0</v>
      </c>
      <c r="H64" s="150">
        <v>0</v>
      </c>
      <c r="I64" s="150">
        <v>0</v>
      </c>
      <c r="J64" s="150">
        <v>0</v>
      </c>
      <c r="K64" s="150">
        <v>0</v>
      </c>
      <c r="L64" s="150">
        <v>0</v>
      </c>
      <c r="M64" s="150">
        <v>0</v>
      </c>
      <c r="N64" s="150">
        <v>0</v>
      </c>
      <c r="O64" s="150">
        <v>0</v>
      </c>
      <c r="P64" s="150">
        <v>0</v>
      </c>
      <c r="Q64" s="150">
        <v>0</v>
      </c>
      <c r="R64" s="150">
        <v>0</v>
      </c>
      <c r="S64" s="93">
        <f t="shared" si="20"/>
        <v>0</v>
      </c>
      <c r="T64" s="151"/>
      <c r="U64" s="150">
        <v>2148.4</v>
      </c>
      <c r="V64" s="93">
        <f t="shared" si="43"/>
        <v>-2148.4</v>
      </c>
      <c r="W64" s="151"/>
      <c r="Z64" s="31" t="e">
        <f>X64/#REF!*100</f>
        <v>#REF!</v>
      </c>
    </row>
    <row r="65" spans="1:25" s="31" customFormat="1" ht="58.5" x14ac:dyDescent="0.25">
      <c r="A65" s="173">
        <v>15</v>
      </c>
      <c r="B65" s="157" t="s">
        <v>223</v>
      </c>
      <c r="C65" s="174">
        <v>41051700</v>
      </c>
      <c r="D65" s="152">
        <v>0</v>
      </c>
      <c r="E65" s="152">
        <v>0</v>
      </c>
      <c r="F65" s="147">
        <f t="shared" si="25"/>
        <v>0</v>
      </c>
      <c r="G65" s="147">
        <v>0</v>
      </c>
      <c r="H65" s="147">
        <v>0</v>
      </c>
      <c r="I65" s="147">
        <v>0</v>
      </c>
      <c r="J65" s="147">
        <v>0</v>
      </c>
      <c r="K65" s="147">
        <v>0</v>
      </c>
      <c r="L65" s="147">
        <v>0</v>
      </c>
      <c r="M65" s="147">
        <v>0</v>
      </c>
      <c r="N65" s="147">
        <v>0</v>
      </c>
      <c r="O65" s="147">
        <v>0</v>
      </c>
      <c r="P65" s="147">
        <v>0</v>
      </c>
      <c r="Q65" s="147">
        <v>0</v>
      </c>
      <c r="R65" s="147">
        <v>0</v>
      </c>
      <c r="S65" s="147">
        <f t="shared" si="20"/>
        <v>0</v>
      </c>
      <c r="T65" s="151"/>
      <c r="U65" s="147">
        <v>462.70299999999997</v>
      </c>
      <c r="V65" s="148">
        <f t="shared" si="43"/>
        <v>-462.70299999999997</v>
      </c>
      <c r="W65" s="151"/>
    </row>
    <row r="66" spans="1:25" s="31" customFormat="1" ht="58.5" x14ac:dyDescent="0.25">
      <c r="A66" s="180">
        <f>A65+1</f>
        <v>16</v>
      </c>
      <c r="B66" s="157" t="s">
        <v>224</v>
      </c>
      <c r="C66" s="181" t="s">
        <v>188</v>
      </c>
      <c r="D66" s="152">
        <v>0</v>
      </c>
      <c r="E66" s="152">
        <v>0</v>
      </c>
      <c r="F66" s="147">
        <f t="shared" si="25"/>
        <v>0</v>
      </c>
      <c r="G66" s="147">
        <v>0</v>
      </c>
      <c r="H66" s="147">
        <v>0</v>
      </c>
      <c r="I66" s="147">
        <v>0</v>
      </c>
      <c r="J66" s="147">
        <v>0</v>
      </c>
      <c r="K66" s="147">
        <v>0</v>
      </c>
      <c r="L66" s="147">
        <v>0</v>
      </c>
      <c r="M66" s="147">
        <v>0</v>
      </c>
      <c r="N66" s="147">
        <v>0</v>
      </c>
      <c r="O66" s="147">
        <v>0</v>
      </c>
      <c r="P66" s="147">
        <v>0</v>
      </c>
      <c r="Q66" s="147">
        <v>0</v>
      </c>
      <c r="R66" s="147">
        <v>0</v>
      </c>
      <c r="S66" s="147">
        <f t="shared" si="20"/>
        <v>0</v>
      </c>
      <c r="T66" s="151"/>
      <c r="U66" s="147">
        <v>8158.991</v>
      </c>
      <c r="V66" s="148">
        <f t="shared" si="43"/>
        <v>-8158.991</v>
      </c>
      <c r="W66" s="151"/>
    </row>
    <row r="67" spans="1:25" s="7" customFormat="1" ht="58.5" x14ac:dyDescent="0.25">
      <c r="A67" s="180">
        <f t="shared" ref="A67:A71" si="45">A66+1</f>
        <v>17</v>
      </c>
      <c r="B67" s="159" t="s">
        <v>200</v>
      </c>
      <c r="C67" s="174" t="s">
        <v>133</v>
      </c>
      <c r="D67" s="152">
        <v>7100</v>
      </c>
      <c r="E67" s="152">
        <v>17298.434329999996</v>
      </c>
      <c r="F67" s="147">
        <f t="shared" si="25"/>
        <v>17298.433999999997</v>
      </c>
      <c r="G67" s="147">
        <v>1183.3330000000001</v>
      </c>
      <c r="H67" s="147">
        <v>1183.3330000000001</v>
      </c>
      <c r="I67" s="147">
        <v>1183.3330000000001</v>
      </c>
      <c r="J67" s="147">
        <v>1183.3330000000001</v>
      </c>
      <c r="K67" s="147">
        <v>3056.2190000000001</v>
      </c>
      <c r="L67" s="147">
        <v>3087.8420000000001</v>
      </c>
      <c r="M67" s="147">
        <v>1510.6569999999999</v>
      </c>
      <c r="N67" s="147">
        <v>1510.6569999999999</v>
      </c>
      <c r="O67" s="147">
        <v>3697.1880000000001</v>
      </c>
      <c r="P67" s="147">
        <v>0</v>
      </c>
      <c r="Q67" s="147">
        <v>-297.46100000000001</v>
      </c>
      <c r="R67" s="147">
        <v>0</v>
      </c>
      <c r="S67" s="148">
        <f t="shared" si="20"/>
        <v>-3.2999999893945642E-4</v>
      </c>
      <c r="T67" s="149">
        <f t="shared" si="21"/>
        <v>99.999998092312907</v>
      </c>
      <c r="U67" s="147">
        <v>14302.1</v>
      </c>
      <c r="V67" s="148">
        <f t="shared" si="43"/>
        <v>2996.3339999999971</v>
      </c>
      <c r="W67" s="149">
        <f>F67/U67*100</f>
        <v>120.95030799672773</v>
      </c>
      <c r="X67" s="147"/>
      <c r="Y67" s="147"/>
    </row>
    <row r="68" spans="1:25" s="7" customFormat="1" ht="58.5" x14ac:dyDescent="0.25">
      <c r="A68" s="180">
        <f t="shared" si="45"/>
        <v>18</v>
      </c>
      <c r="B68" s="159" t="s">
        <v>189</v>
      </c>
      <c r="C68" s="181" t="s">
        <v>190</v>
      </c>
      <c r="D68" s="152">
        <v>0</v>
      </c>
      <c r="E68" s="152">
        <v>0</v>
      </c>
      <c r="F68" s="147">
        <f t="shared" si="25"/>
        <v>0</v>
      </c>
      <c r="G68" s="147">
        <v>0</v>
      </c>
      <c r="H68" s="147">
        <v>0</v>
      </c>
      <c r="I68" s="147">
        <v>0</v>
      </c>
      <c r="J68" s="147">
        <v>0</v>
      </c>
      <c r="K68" s="147">
        <v>0</v>
      </c>
      <c r="L68" s="147">
        <v>0</v>
      </c>
      <c r="M68" s="147">
        <v>0</v>
      </c>
      <c r="N68" s="147">
        <v>0</v>
      </c>
      <c r="O68" s="147">
        <v>0</v>
      </c>
      <c r="P68" s="147">
        <v>0</v>
      </c>
      <c r="Q68" s="147">
        <v>0</v>
      </c>
      <c r="R68" s="147">
        <v>0</v>
      </c>
      <c r="S68" s="148">
        <f t="shared" si="20"/>
        <v>0</v>
      </c>
      <c r="T68" s="149"/>
      <c r="U68" s="147">
        <v>4679.9889999999996</v>
      </c>
      <c r="V68" s="148">
        <f t="shared" si="43"/>
        <v>-4679.9889999999996</v>
      </c>
      <c r="W68" s="149"/>
      <c r="X68" s="147"/>
      <c r="Y68" s="147"/>
    </row>
    <row r="69" spans="1:25" s="7" customFormat="1" ht="78" x14ac:dyDescent="0.25">
      <c r="A69" s="182">
        <f t="shared" si="45"/>
        <v>19</v>
      </c>
      <c r="B69" s="157" t="s">
        <v>225</v>
      </c>
      <c r="C69" s="183" t="s">
        <v>193</v>
      </c>
      <c r="D69" s="152">
        <v>0</v>
      </c>
      <c r="E69" s="152">
        <v>0</v>
      </c>
      <c r="F69" s="147">
        <f t="shared" ref="F69" si="46">SUM(G69:R69)</f>
        <v>0</v>
      </c>
      <c r="G69" s="147">
        <v>0</v>
      </c>
      <c r="H69" s="147">
        <v>0</v>
      </c>
      <c r="I69" s="147">
        <v>0</v>
      </c>
      <c r="J69" s="147">
        <v>0</v>
      </c>
      <c r="K69" s="147">
        <v>0</v>
      </c>
      <c r="L69" s="147">
        <v>0</v>
      </c>
      <c r="M69" s="147">
        <v>0</v>
      </c>
      <c r="N69" s="147">
        <v>0</v>
      </c>
      <c r="O69" s="147">
        <v>0</v>
      </c>
      <c r="P69" s="147">
        <v>0</v>
      </c>
      <c r="Q69" s="147">
        <v>0</v>
      </c>
      <c r="R69" s="147">
        <v>0</v>
      </c>
      <c r="S69" s="148">
        <f t="shared" si="20"/>
        <v>0</v>
      </c>
      <c r="T69" s="149"/>
      <c r="U69" s="147">
        <v>3303.6030000000001</v>
      </c>
      <c r="V69" s="148">
        <f t="shared" si="43"/>
        <v>-3303.6030000000001</v>
      </c>
      <c r="W69" s="149"/>
      <c r="X69" s="147"/>
      <c r="Y69" s="147"/>
    </row>
    <row r="70" spans="1:25" s="7" customFormat="1" ht="78" x14ac:dyDescent="0.25">
      <c r="A70" s="194">
        <f t="shared" si="45"/>
        <v>20</v>
      </c>
      <c r="B70" s="157" t="s">
        <v>208</v>
      </c>
      <c r="C70" s="195" t="s">
        <v>209</v>
      </c>
      <c r="D70" s="152">
        <v>0</v>
      </c>
      <c r="E70" s="152">
        <v>0</v>
      </c>
      <c r="F70" s="147">
        <f t="shared" ref="F70" si="47">SUM(G70:R70)</f>
        <v>0</v>
      </c>
      <c r="G70" s="147">
        <v>0</v>
      </c>
      <c r="H70" s="147">
        <v>0</v>
      </c>
      <c r="I70" s="147">
        <v>0</v>
      </c>
      <c r="J70" s="147">
        <v>0</v>
      </c>
      <c r="K70" s="147">
        <v>0</v>
      </c>
      <c r="L70" s="147">
        <v>0</v>
      </c>
      <c r="M70" s="147">
        <v>0</v>
      </c>
      <c r="N70" s="147">
        <v>0</v>
      </c>
      <c r="O70" s="147">
        <v>0</v>
      </c>
      <c r="P70" s="147">
        <v>0</v>
      </c>
      <c r="Q70" s="147">
        <v>0</v>
      </c>
      <c r="R70" s="147">
        <v>0</v>
      </c>
      <c r="S70" s="148">
        <f t="shared" si="20"/>
        <v>0</v>
      </c>
      <c r="T70" s="149"/>
      <c r="U70" s="147">
        <v>5885</v>
      </c>
      <c r="V70" s="148">
        <f t="shared" si="43"/>
        <v>-5885</v>
      </c>
      <c r="W70" s="149"/>
      <c r="X70" s="147"/>
      <c r="Y70" s="147"/>
    </row>
    <row r="71" spans="1:25" s="7" customFormat="1" ht="23.25" x14ac:dyDescent="0.25">
      <c r="A71" s="194">
        <f t="shared" si="45"/>
        <v>21</v>
      </c>
      <c r="B71" s="159" t="s">
        <v>227</v>
      </c>
      <c r="C71" s="174" t="s">
        <v>119</v>
      </c>
      <c r="D71" s="152">
        <f>SUM(D72:D78)</f>
        <v>3644</v>
      </c>
      <c r="E71" s="152">
        <f>SUM(E72:E80)</f>
        <v>8095.9610000000002</v>
      </c>
      <c r="F71" s="147">
        <f t="shared" si="25"/>
        <v>8079.2989999999991</v>
      </c>
      <c r="G71" s="147">
        <f t="shared" ref="G71:J71" si="48">SUM(G72:G78)</f>
        <v>0</v>
      </c>
      <c r="H71" s="147">
        <f t="shared" si="48"/>
        <v>57.276000000000003</v>
      </c>
      <c r="I71" s="147">
        <f t="shared" si="48"/>
        <v>466.01499999999999</v>
      </c>
      <c r="J71" s="147">
        <f t="shared" si="48"/>
        <v>231.05500000000001</v>
      </c>
      <c r="K71" s="147">
        <f t="shared" ref="K71:O71" si="49">SUM(K72:K78)</f>
        <v>320.97299999999996</v>
      </c>
      <c r="L71" s="147">
        <f t="shared" si="49"/>
        <v>297.8</v>
      </c>
      <c r="M71" s="147">
        <f t="shared" si="49"/>
        <v>158.9</v>
      </c>
      <c r="N71" s="147">
        <f t="shared" si="49"/>
        <v>738.21600000000001</v>
      </c>
      <c r="O71" s="147">
        <f t="shared" si="49"/>
        <v>954.26</v>
      </c>
      <c r="P71" s="147">
        <f t="shared" ref="P71" si="50">SUM(P72:P78)</f>
        <v>470.50700000000001</v>
      </c>
      <c r="Q71" s="147">
        <f>SUM(Q72:Q80)</f>
        <v>631.60799999999995</v>
      </c>
      <c r="R71" s="147">
        <f>SUM(R72:R80)</f>
        <v>3752.6889999999999</v>
      </c>
      <c r="S71" s="148">
        <f t="shared" si="20"/>
        <v>-16.662000000001171</v>
      </c>
      <c r="T71" s="149">
        <f t="shared" si="21"/>
        <v>99.794193672622669</v>
      </c>
      <c r="U71" s="147">
        <f>SUM(U72:U80)</f>
        <v>4998.1499999999996</v>
      </c>
      <c r="V71" s="148">
        <f t="shared" si="43"/>
        <v>3081.1489999999994</v>
      </c>
      <c r="W71" s="149">
        <f>F71/U71*100</f>
        <v>161.64578894190851</v>
      </c>
      <c r="X71" s="147">
        <v>5098.8379999999997</v>
      </c>
      <c r="Y71" s="147">
        <f>X71-U71</f>
        <v>100.6880000000001</v>
      </c>
    </row>
    <row r="72" spans="1:25" s="31" customFormat="1" ht="39" x14ac:dyDescent="0.25">
      <c r="A72" s="135" t="s">
        <v>240</v>
      </c>
      <c r="B72" s="158" t="s">
        <v>228</v>
      </c>
      <c r="C72" s="81"/>
      <c r="D72" s="153">
        <v>105</v>
      </c>
      <c r="E72" s="153">
        <v>105</v>
      </c>
      <c r="F72" s="150">
        <f t="shared" si="25"/>
        <v>98.47</v>
      </c>
      <c r="G72" s="150">
        <v>0</v>
      </c>
      <c r="H72" s="150">
        <v>0</v>
      </c>
      <c r="I72" s="150">
        <v>26.257000000000001</v>
      </c>
      <c r="J72" s="150">
        <v>5.5039999999999996</v>
      </c>
      <c r="K72" s="150">
        <f>12</f>
        <v>12</v>
      </c>
      <c r="L72" s="150">
        <v>7.8360000000000003</v>
      </c>
      <c r="M72" s="150">
        <v>0</v>
      </c>
      <c r="N72" s="150">
        <f>3.454+9.512</f>
        <v>12.966000000000001</v>
      </c>
      <c r="O72" s="150">
        <v>9.6329999999999991</v>
      </c>
      <c r="P72" s="150">
        <f>9.38</f>
        <v>9.3800000000000008</v>
      </c>
      <c r="Q72" s="150">
        <v>0</v>
      </c>
      <c r="R72" s="150">
        <f>14.896-0.002</f>
        <v>14.894</v>
      </c>
      <c r="S72" s="93">
        <f t="shared" si="20"/>
        <v>-6.5300000000000011</v>
      </c>
      <c r="T72" s="151">
        <f t="shared" si="21"/>
        <v>93.780952380952371</v>
      </c>
      <c r="U72" s="150">
        <v>97.848000000000013</v>
      </c>
      <c r="V72" s="93">
        <f t="shared" si="43"/>
        <v>0.62199999999998568</v>
      </c>
      <c r="W72" s="151">
        <f>F72/U72*100</f>
        <v>100.6356798299403</v>
      </c>
    </row>
    <row r="73" spans="1:25" s="31" customFormat="1" ht="39" x14ac:dyDescent="0.25">
      <c r="A73" s="135" t="s">
        <v>241</v>
      </c>
      <c r="B73" s="158" t="s">
        <v>229</v>
      </c>
      <c r="C73" s="81"/>
      <c r="D73" s="153">
        <v>1246.7</v>
      </c>
      <c r="E73" s="153">
        <v>1246.7</v>
      </c>
      <c r="F73" s="150">
        <f t="shared" si="25"/>
        <v>1246.7</v>
      </c>
      <c r="G73" s="150">
        <v>0</v>
      </c>
      <c r="H73" s="150">
        <v>57.276000000000003</v>
      </c>
      <c r="I73" s="150">
        <v>61.982999999999997</v>
      </c>
      <c r="J73" s="150">
        <v>122.77</v>
      </c>
      <c r="K73" s="150">
        <f>136.271</f>
        <v>136.27099999999999</v>
      </c>
      <c r="L73" s="150">
        <v>142.262</v>
      </c>
      <c r="M73" s="150">
        <v>0</v>
      </c>
      <c r="N73" s="150">
        <f>97.286+47.175</f>
        <v>144.46100000000001</v>
      </c>
      <c r="O73" s="150">
        <v>65.724000000000004</v>
      </c>
      <c r="P73" s="150">
        <f>153.466</f>
        <v>153.46600000000001</v>
      </c>
      <c r="Q73" s="150">
        <v>173.554</v>
      </c>
      <c r="R73" s="150">
        <v>188.93299999999999</v>
      </c>
      <c r="S73" s="93">
        <f t="shared" ref="S73:S89" si="51">F73-E73</f>
        <v>0</v>
      </c>
      <c r="T73" s="151">
        <f t="shared" ref="T73:T89" si="52">F73/E73*100</f>
        <v>100</v>
      </c>
      <c r="U73" s="150">
        <v>1246.6999999999998</v>
      </c>
      <c r="V73" s="93">
        <f t="shared" si="43"/>
        <v>0</v>
      </c>
      <c r="W73" s="151">
        <f>F73/U73*100</f>
        <v>100.00000000000003</v>
      </c>
    </row>
    <row r="74" spans="1:25" s="31" customFormat="1" ht="78" x14ac:dyDescent="0.25">
      <c r="A74" s="135" t="s">
        <v>242</v>
      </c>
      <c r="B74" s="158" t="s">
        <v>230</v>
      </c>
      <c r="C74" s="81"/>
      <c r="D74" s="153">
        <v>292.3</v>
      </c>
      <c r="E74" s="153">
        <v>292.3</v>
      </c>
      <c r="F74" s="150">
        <f t="shared" si="25"/>
        <v>292.29999999999995</v>
      </c>
      <c r="G74" s="150">
        <v>0</v>
      </c>
      <c r="H74" s="150">
        <v>0</v>
      </c>
      <c r="I74" s="150">
        <v>146.136</v>
      </c>
      <c r="J74" s="150">
        <v>0</v>
      </c>
      <c r="K74" s="150">
        <v>0</v>
      </c>
      <c r="L74" s="150">
        <v>0</v>
      </c>
      <c r="M74" s="150">
        <v>0</v>
      </c>
      <c r="N74" s="150">
        <v>0</v>
      </c>
      <c r="O74" s="150">
        <v>146.16399999999999</v>
      </c>
      <c r="P74" s="150">
        <v>0</v>
      </c>
      <c r="Q74" s="150">
        <v>0</v>
      </c>
      <c r="R74" s="150">
        <v>0</v>
      </c>
      <c r="S74" s="93">
        <f t="shared" si="51"/>
        <v>0</v>
      </c>
      <c r="T74" s="151">
        <f t="shared" si="52"/>
        <v>99.999999999999972</v>
      </c>
      <c r="U74" s="150">
        <v>292.29999999999995</v>
      </c>
      <c r="V74" s="93">
        <f t="shared" si="43"/>
        <v>0</v>
      </c>
      <c r="W74" s="151">
        <f>F74/U74*100</f>
        <v>100</v>
      </c>
    </row>
    <row r="75" spans="1:25" s="31" customFormat="1" ht="58.5" x14ac:dyDescent="0.25">
      <c r="A75" s="135" t="s">
        <v>243</v>
      </c>
      <c r="B75" s="158" t="s">
        <v>231</v>
      </c>
      <c r="C75" s="81"/>
      <c r="D75" s="153">
        <v>0</v>
      </c>
      <c r="E75" s="153">
        <v>1663.7380000000001</v>
      </c>
      <c r="F75" s="150">
        <f t="shared" si="25"/>
        <v>1663.7380000000001</v>
      </c>
      <c r="G75" s="150">
        <v>0</v>
      </c>
      <c r="H75" s="150">
        <v>0</v>
      </c>
      <c r="I75" s="150">
        <v>231.63900000000001</v>
      </c>
      <c r="J75" s="150">
        <v>102.78100000000001</v>
      </c>
      <c r="K75" s="150">
        <v>147.702</v>
      </c>
      <c r="L75" s="150">
        <v>147.702</v>
      </c>
      <c r="M75" s="150">
        <v>0</v>
      </c>
      <c r="N75" s="150">
        <v>295.404</v>
      </c>
      <c r="O75" s="150">
        <v>0</v>
      </c>
      <c r="P75" s="150">
        <f>295.404</f>
        <v>295.404</v>
      </c>
      <c r="Q75" s="150">
        <v>295.404</v>
      </c>
      <c r="R75" s="150">
        <v>147.702</v>
      </c>
      <c r="S75" s="93">
        <f t="shared" si="51"/>
        <v>0</v>
      </c>
      <c r="T75" s="151">
        <f t="shared" si="52"/>
        <v>100</v>
      </c>
      <c r="U75" s="150">
        <v>772.5680000000001</v>
      </c>
      <c r="V75" s="93">
        <f t="shared" si="43"/>
        <v>891.17</v>
      </c>
      <c r="W75" s="151">
        <f>F75/U75*100</f>
        <v>215.35165836534779</v>
      </c>
    </row>
    <row r="76" spans="1:25" s="31" customFormat="1" ht="58.5" x14ac:dyDescent="0.25">
      <c r="A76" s="135" t="s">
        <v>244</v>
      </c>
      <c r="B76" s="158" t="s">
        <v>232</v>
      </c>
      <c r="C76" s="81"/>
      <c r="D76" s="153">
        <v>2000</v>
      </c>
      <c r="E76" s="153">
        <v>2000</v>
      </c>
      <c r="F76" s="150">
        <f>SUM(G76:R76)</f>
        <v>1989.8679999999999</v>
      </c>
      <c r="G76" s="150">
        <v>0</v>
      </c>
      <c r="H76" s="150">
        <v>0</v>
      </c>
      <c r="I76" s="150">
        <v>0</v>
      </c>
      <c r="J76" s="150">
        <v>0</v>
      </c>
      <c r="K76" s="150">
        <v>0</v>
      </c>
      <c r="L76" s="150">
        <v>0</v>
      </c>
      <c r="M76" s="150">
        <v>158.9</v>
      </c>
      <c r="N76" s="150">
        <v>285.38499999999999</v>
      </c>
      <c r="O76" s="150">
        <f>470.8+261.939</f>
        <v>732.73900000000003</v>
      </c>
      <c r="P76" s="150">
        <v>12.257</v>
      </c>
      <c r="Q76" s="150">
        <v>112.65</v>
      </c>
      <c r="R76" s="150">
        <v>687.93700000000001</v>
      </c>
      <c r="S76" s="93">
        <f t="shared" si="51"/>
        <v>-10.132000000000062</v>
      </c>
      <c r="T76" s="151">
        <f t="shared" si="52"/>
        <v>99.493399999999994</v>
      </c>
      <c r="U76" s="150">
        <v>0</v>
      </c>
      <c r="V76" s="93">
        <f t="shared" si="43"/>
        <v>1989.8679999999999</v>
      </c>
      <c r="W76" s="151"/>
    </row>
    <row r="77" spans="1:25" s="31" customFormat="1" ht="39" x14ac:dyDescent="0.25">
      <c r="A77" s="135" t="s">
        <v>245</v>
      </c>
      <c r="B77" s="158" t="s">
        <v>233</v>
      </c>
      <c r="C77" s="81"/>
      <c r="D77" s="153">
        <v>0</v>
      </c>
      <c r="E77" s="153">
        <v>2713.223</v>
      </c>
      <c r="F77" s="150">
        <f>SUM(G77:R77)</f>
        <v>2713.223</v>
      </c>
      <c r="G77" s="150">
        <v>0</v>
      </c>
      <c r="H77" s="150">
        <v>0</v>
      </c>
      <c r="I77" s="150">
        <v>0</v>
      </c>
      <c r="J77" s="150">
        <v>0</v>
      </c>
      <c r="K77" s="150">
        <v>0</v>
      </c>
      <c r="L77" s="150">
        <v>0</v>
      </c>
      <c r="M77" s="150">
        <v>0</v>
      </c>
      <c r="N77" s="150">
        <v>0</v>
      </c>
      <c r="O77" s="150">
        <v>0</v>
      </c>
      <c r="P77" s="150">
        <v>0</v>
      </c>
      <c r="Q77" s="150">
        <v>0</v>
      </c>
      <c r="R77" s="150">
        <v>2713.223</v>
      </c>
      <c r="S77" s="93">
        <f t="shared" si="51"/>
        <v>0</v>
      </c>
      <c r="T77" s="151">
        <f t="shared" si="52"/>
        <v>100</v>
      </c>
      <c r="U77" s="150">
        <v>1588.7339999999999</v>
      </c>
      <c r="V77" s="93">
        <f t="shared" si="43"/>
        <v>1124.489</v>
      </c>
      <c r="W77" s="151">
        <f t="shared" ref="W77" si="53">F77/U77*100</f>
        <v>170.77893467377169</v>
      </c>
    </row>
    <row r="78" spans="1:25" s="31" customFormat="1" ht="117" x14ac:dyDescent="0.25">
      <c r="A78" s="135" t="s">
        <v>246</v>
      </c>
      <c r="B78" s="158" t="s">
        <v>234</v>
      </c>
      <c r="C78" s="81"/>
      <c r="D78" s="153">
        <v>0</v>
      </c>
      <c r="E78" s="153">
        <v>25</v>
      </c>
      <c r="F78" s="150">
        <f>SUM(G78:R78)</f>
        <v>25</v>
      </c>
      <c r="G78" s="150">
        <v>0</v>
      </c>
      <c r="H78" s="150">
        <v>0</v>
      </c>
      <c r="I78" s="150">
        <v>0</v>
      </c>
      <c r="J78" s="150">
        <v>0</v>
      </c>
      <c r="K78" s="150">
        <v>25</v>
      </c>
      <c r="L78" s="150">
        <v>0</v>
      </c>
      <c r="M78" s="150">
        <v>0</v>
      </c>
      <c r="N78" s="150">
        <v>0</v>
      </c>
      <c r="O78" s="150">
        <v>0</v>
      </c>
      <c r="P78" s="150">
        <v>0</v>
      </c>
      <c r="Q78" s="150">
        <v>0</v>
      </c>
      <c r="R78" s="150">
        <v>0</v>
      </c>
      <c r="S78" s="93">
        <f t="shared" si="51"/>
        <v>0</v>
      </c>
      <c r="T78" s="151">
        <f t="shared" si="52"/>
        <v>100</v>
      </c>
      <c r="U78" s="150">
        <v>0</v>
      </c>
      <c r="V78" s="93">
        <f t="shared" si="43"/>
        <v>25</v>
      </c>
      <c r="W78" s="151"/>
    </row>
    <row r="79" spans="1:25" s="31" customFormat="1" ht="97.5" x14ac:dyDescent="0.25">
      <c r="A79" s="135" t="s">
        <v>247</v>
      </c>
      <c r="B79" s="158" t="s">
        <v>195</v>
      </c>
      <c r="C79" s="81"/>
      <c r="D79" s="153">
        <v>0</v>
      </c>
      <c r="E79" s="153">
        <v>50</v>
      </c>
      <c r="F79" s="150">
        <f>SUM(G79:R79)</f>
        <v>50</v>
      </c>
      <c r="G79" s="150">
        <v>0</v>
      </c>
      <c r="H79" s="150">
        <v>0</v>
      </c>
      <c r="I79" s="150">
        <v>0</v>
      </c>
      <c r="J79" s="150">
        <v>0</v>
      </c>
      <c r="K79" s="150">
        <v>0</v>
      </c>
      <c r="L79" s="150">
        <v>0</v>
      </c>
      <c r="M79" s="150">
        <v>0</v>
      </c>
      <c r="N79" s="150">
        <v>0</v>
      </c>
      <c r="O79" s="150">
        <v>0</v>
      </c>
      <c r="P79" s="150">
        <v>0</v>
      </c>
      <c r="Q79" s="150">
        <v>50</v>
      </c>
      <c r="R79" s="150">
        <v>0</v>
      </c>
      <c r="S79" s="93">
        <f t="shared" si="51"/>
        <v>0</v>
      </c>
      <c r="T79" s="151">
        <f t="shared" si="52"/>
        <v>100</v>
      </c>
      <c r="U79" s="150">
        <v>0</v>
      </c>
      <c r="V79" s="93">
        <f t="shared" si="43"/>
        <v>50</v>
      </c>
      <c r="W79" s="151"/>
    </row>
    <row r="80" spans="1:25" s="31" customFormat="1" ht="58.5" x14ac:dyDescent="0.25">
      <c r="A80" s="135" t="s">
        <v>248</v>
      </c>
      <c r="B80" s="158" t="s">
        <v>235</v>
      </c>
      <c r="C80" s="81"/>
      <c r="D80" s="153">
        <v>0</v>
      </c>
      <c r="E80" s="153">
        <v>0</v>
      </c>
      <c r="F80" s="150">
        <f>SUM(G80:R80)</f>
        <v>0</v>
      </c>
      <c r="G80" s="150">
        <v>0</v>
      </c>
      <c r="H80" s="150">
        <v>0</v>
      </c>
      <c r="I80" s="150">
        <v>0</v>
      </c>
      <c r="J80" s="150">
        <v>0</v>
      </c>
      <c r="K80" s="150">
        <v>0</v>
      </c>
      <c r="L80" s="150">
        <v>0</v>
      </c>
      <c r="M80" s="150">
        <v>0</v>
      </c>
      <c r="N80" s="150">
        <v>0</v>
      </c>
      <c r="O80" s="150">
        <v>0</v>
      </c>
      <c r="P80" s="150">
        <v>0</v>
      </c>
      <c r="Q80" s="150">
        <v>0</v>
      </c>
      <c r="R80" s="150">
        <v>0</v>
      </c>
      <c r="S80" s="93">
        <f t="shared" si="51"/>
        <v>0</v>
      </c>
      <c r="T80" s="151"/>
      <c r="U80" s="150">
        <v>1000</v>
      </c>
      <c r="V80" s="93">
        <f t="shared" si="43"/>
        <v>-1000</v>
      </c>
      <c r="W80" s="151"/>
    </row>
    <row r="81" spans="1:28" s="7" customFormat="1" ht="23.25" x14ac:dyDescent="0.25">
      <c r="A81" s="173"/>
      <c r="B81" s="100"/>
      <c r="C81" s="133"/>
      <c r="D81" s="152"/>
      <c r="E81" s="152"/>
      <c r="F81" s="147"/>
      <c r="G81" s="147"/>
      <c r="H81" s="147"/>
      <c r="I81" s="147"/>
      <c r="J81" s="147"/>
      <c r="K81" s="147"/>
      <c r="L81" s="147"/>
      <c r="M81" s="147"/>
      <c r="N81" s="147"/>
      <c r="O81" s="147"/>
      <c r="P81" s="147"/>
      <c r="Q81" s="147"/>
      <c r="R81" s="147"/>
      <c r="S81" s="148"/>
      <c r="T81" s="149"/>
      <c r="U81" s="147"/>
      <c r="V81" s="93"/>
      <c r="W81" s="149"/>
    </row>
    <row r="82" spans="1:28" s="41" customFormat="1" ht="39" customHeight="1" x14ac:dyDescent="0.3">
      <c r="A82" s="38"/>
      <c r="B82" s="42" t="s">
        <v>28</v>
      </c>
      <c r="C82" s="175"/>
      <c r="D82" s="139">
        <f>D85+D84</f>
        <v>744122.80200000003</v>
      </c>
      <c r="E82" s="139">
        <f>E85+E84</f>
        <v>797643.55928000004</v>
      </c>
      <c r="F82" s="139">
        <f t="shared" si="25"/>
        <v>796458.99900000007</v>
      </c>
      <c r="G82" s="139">
        <f t="shared" ref="G82:R82" si="54">G85+G84</f>
        <v>46907.102000000006</v>
      </c>
      <c r="H82" s="139">
        <f t="shared" si="54"/>
        <v>54592.909</v>
      </c>
      <c r="I82" s="139">
        <f t="shared" si="54"/>
        <v>57204.304000000004</v>
      </c>
      <c r="J82" s="139">
        <f t="shared" si="54"/>
        <v>57797.366999999998</v>
      </c>
      <c r="K82" s="139">
        <f t="shared" ref="K82:Q82" si="55">K85+K84</f>
        <v>79358.313000000009</v>
      </c>
      <c r="L82" s="139">
        <f t="shared" si="55"/>
        <v>145334.226</v>
      </c>
      <c r="M82" s="139">
        <f t="shared" si="55"/>
        <v>28903.632999999998</v>
      </c>
      <c r="N82" s="139">
        <f t="shared" si="55"/>
        <v>40456.436000000002</v>
      </c>
      <c r="O82" s="139">
        <f t="shared" si="55"/>
        <v>77501.403000000006</v>
      </c>
      <c r="P82" s="139">
        <f t="shared" si="55"/>
        <v>62235.742999999995</v>
      </c>
      <c r="Q82" s="139">
        <f t="shared" si="55"/>
        <v>67857.94200000001</v>
      </c>
      <c r="R82" s="139">
        <f t="shared" si="54"/>
        <v>78309.620999999985</v>
      </c>
      <c r="S82" s="70">
        <f t="shared" si="51"/>
        <v>-1184.560279999976</v>
      </c>
      <c r="T82" s="71">
        <f t="shared" si="52"/>
        <v>99.851492528684219</v>
      </c>
      <c r="U82" s="139">
        <f>U85+U84</f>
        <v>739822.68099999998</v>
      </c>
      <c r="V82" s="70">
        <f>F82-U82</f>
        <v>56636.318000000087</v>
      </c>
      <c r="W82" s="71">
        <f>F82/U82*100</f>
        <v>107.65539087331659</v>
      </c>
    </row>
    <row r="83" spans="1:28" s="10" customFormat="1" ht="23.25" hidden="1" x14ac:dyDescent="0.25">
      <c r="A83" s="9"/>
      <c r="B83" s="129" t="s">
        <v>104</v>
      </c>
      <c r="C83" s="8"/>
      <c r="D83" s="154"/>
      <c r="E83" s="154"/>
      <c r="F83" s="154"/>
      <c r="G83" s="154"/>
      <c r="H83" s="154"/>
      <c r="I83" s="154"/>
      <c r="J83" s="154"/>
      <c r="K83" s="154"/>
      <c r="L83" s="154"/>
      <c r="M83" s="154"/>
      <c r="N83" s="154"/>
      <c r="O83" s="154"/>
      <c r="P83" s="154"/>
      <c r="Q83" s="154"/>
      <c r="R83" s="154"/>
      <c r="S83" s="148"/>
      <c r="T83" s="71"/>
      <c r="U83" s="154"/>
      <c r="V83" s="70"/>
      <c r="W83" s="71"/>
    </row>
    <row r="84" spans="1:28" s="10" customFormat="1" ht="22.5" hidden="1" x14ac:dyDescent="0.25">
      <c r="A84" s="9"/>
      <c r="B84" s="171" t="s">
        <v>120</v>
      </c>
      <c r="C84" s="18"/>
      <c r="D84" s="139">
        <f>D53</f>
        <v>0</v>
      </c>
      <c r="E84" s="139">
        <f>E53</f>
        <v>0</v>
      </c>
      <c r="F84" s="139">
        <f t="shared" si="25"/>
        <v>0</v>
      </c>
      <c r="G84" s="139">
        <f t="shared" ref="G84:N84" si="56">G53</f>
        <v>0</v>
      </c>
      <c r="H84" s="139">
        <f t="shared" si="56"/>
        <v>0</v>
      </c>
      <c r="I84" s="139">
        <f t="shared" si="56"/>
        <v>0</v>
      </c>
      <c r="J84" s="139">
        <f t="shared" si="56"/>
        <v>0</v>
      </c>
      <c r="K84" s="139">
        <f t="shared" si="56"/>
        <v>0</v>
      </c>
      <c r="L84" s="139">
        <f t="shared" si="56"/>
        <v>0</v>
      </c>
      <c r="M84" s="139">
        <f t="shared" si="56"/>
        <v>0</v>
      </c>
      <c r="N84" s="139">
        <f t="shared" si="56"/>
        <v>0</v>
      </c>
      <c r="O84" s="139">
        <f t="shared" ref="O84:Q84" si="57">O53</f>
        <v>0</v>
      </c>
      <c r="P84" s="139">
        <f t="shared" si="57"/>
        <v>0</v>
      </c>
      <c r="Q84" s="139">
        <f t="shared" si="57"/>
        <v>0</v>
      </c>
      <c r="R84" s="139">
        <f>R53</f>
        <v>0</v>
      </c>
      <c r="S84" s="70">
        <f t="shared" si="51"/>
        <v>0</v>
      </c>
      <c r="T84" s="71"/>
      <c r="U84" s="139">
        <f>U53</f>
        <v>13955.199999999999</v>
      </c>
      <c r="V84" s="70">
        <f>F84-U84</f>
        <v>-13955.199999999999</v>
      </c>
      <c r="W84" s="71">
        <f>F84/U84*100</f>
        <v>0</v>
      </c>
    </row>
    <row r="85" spans="1:28" s="10" customFormat="1" ht="30" hidden="1" customHeight="1" x14ac:dyDescent="0.25">
      <c r="A85" s="9"/>
      <c r="B85" s="171" t="s">
        <v>74</v>
      </c>
      <c r="C85" s="18"/>
      <c r="D85" s="139">
        <f>D86+D87</f>
        <v>744122.80200000003</v>
      </c>
      <c r="E85" s="139">
        <f>E86+E87</f>
        <v>797643.55928000004</v>
      </c>
      <c r="F85" s="139">
        <f t="shared" si="25"/>
        <v>796458.99900000007</v>
      </c>
      <c r="G85" s="139">
        <f t="shared" ref="G85:R85" si="58">G86+G87</f>
        <v>46907.102000000006</v>
      </c>
      <c r="H85" s="139">
        <f t="shared" si="58"/>
        <v>54592.909</v>
      </c>
      <c r="I85" s="139">
        <f t="shared" si="58"/>
        <v>57204.304000000004</v>
      </c>
      <c r="J85" s="139">
        <f t="shared" si="58"/>
        <v>57797.366999999998</v>
      </c>
      <c r="K85" s="139">
        <f t="shared" ref="K85:Q85" si="59">K86+K87</f>
        <v>79358.313000000009</v>
      </c>
      <c r="L85" s="139">
        <f t="shared" si="59"/>
        <v>145334.226</v>
      </c>
      <c r="M85" s="139">
        <f t="shared" si="59"/>
        <v>28903.632999999998</v>
      </c>
      <c r="N85" s="139">
        <f t="shared" si="59"/>
        <v>40456.436000000002</v>
      </c>
      <c r="O85" s="139">
        <f t="shared" si="59"/>
        <v>77501.403000000006</v>
      </c>
      <c r="P85" s="139">
        <f t="shared" si="59"/>
        <v>62235.742999999995</v>
      </c>
      <c r="Q85" s="139">
        <f t="shared" si="59"/>
        <v>67857.94200000001</v>
      </c>
      <c r="R85" s="139">
        <f t="shared" si="58"/>
        <v>78309.620999999985</v>
      </c>
      <c r="S85" s="70">
        <f t="shared" si="51"/>
        <v>-1184.560279999976</v>
      </c>
      <c r="T85" s="71">
        <f t="shared" si="52"/>
        <v>99.851492528684219</v>
      </c>
      <c r="U85" s="139">
        <f t="shared" ref="U85" si="60">U86+U87</f>
        <v>725867.48100000003</v>
      </c>
      <c r="V85" s="70">
        <f>F85-U85</f>
        <v>70591.51800000004</v>
      </c>
      <c r="W85" s="71">
        <f>F85/U85*100</f>
        <v>109.72512474353428</v>
      </c>
    </row>
    <row r="86" spans="1:28" s="5" customFormat="1" ht="36" hidden="1" customHeight="1" x14ac:dyDescent="0.25">
      <c r="A86" s="11"/>
      <c r="B86" s="14" t="s">
        <v>109</v>
      </c>
      <c r="C86" s="14"/>
      <c r="D86" s="153">
        <f>D50+D51</f>
        <v>717803.4</v>
      </c>
      <c r="E86" s="153">
        <f>E50+E51+E52+E49</f>
        <v>735932.20000000007</v>
      </c>
      <c r="F86" s="153">
        <f t="shared" si="25"/>
        <v>735897.24800000002</v>
      </c>
      <c r="G86" s="153">
        <f t="shared" ref="G86:N86" si="61">G50+G51+G52</f>
        <v>44804.3</v>
      </c>
      <c r="H86" s="153">
        <f t="shared" si="61"/>
        <v>52312.800000000003</v>
      </c>
      <c r="I86" s="153">
        <f t="shared" si="61"/>
        <v>54480.800000000003</v>
      </c>
      <c r="J86" s="153">
        <f t="shared" si="61"/>
        <v>55203.4</v>
      </c>
      <c r="K86" s="153">
        <f t="shared" si="61"/>
        <v>74617.8</v>
      </c>
      <c r="L86" s="153">
        <f t="shared" si="61"/>
        <v>139119.6</v>
      </c>
      <c r="M86" s="153">
        <f t="shared" si="61"/>
        <v>26610.1</v>
      </c>
      <c r="N86" s="153">
        <f t="shared" si="61"/>
        <v>30223.4</v>
      </c>
      <c r="O86" s="153">
        <f>O50+O51+O52+O49</f>
        <v>61529.8</v>
      </c>
      <c r="P86" s="153">
        <f>P50+P51+P52+P49</f>
        <v>60575.199999999997</v>
      </c>
      <c r="Q86" s="153">
        <f>Q50+Q51+Q52+Q49</f>
        <v>65872.100000000006</v>
      </c>
      <c r="R86" s="153">
        <f>R50+R51+R52+R49</f>
        <v>70547.947999999989</v>
      </c>
      <c r="S86" s="93">
        <f t="shared" si="51"/>
        <v>-34.952000000048429</v>
      </c>
      <c r="T86" s="151">
        <f t="shared" si="52"/>
        <v>99.995250649448408</v>
      </c>
      <c r="U86" s="153">
        <f>U50+U51</f>
        <v>641807.29599999997</v>
      </c>
      <c r="V86" s="93">
        <f>F86-U86</f>
        <v>94089.952000000048</v>
      </c>
      <c r="W86" s="151">
        <f>F86/U86*100</f>
        <v>114.66015618494933</v>
      </c>
    </row>
    <row r="87" spans="1:28" s="5" customFormat="1" ht="36" hidden="1" customHeight="1" x14ac:dyDescent="0.25">
      <c r="A87" s="11"/>
      <c r="B87" s="130" t="s">
        <v>108</v>
      </c>
      <c r="C87" s="14"/>
      <c r="D87" s="153">
        <f>D58+D62+D71+D60+D67</f>
        <v>26319.402000000002</v>
      </c>
      <c r="E87" s="153">
        <f>E58+E62+E71+E60+E67+E61+E54+E55+E56+E59+E57</f>
        <v>61711.359280000004</v>
      </c>
      <c r="F87" s="153">
        <f t="shared" si="25"/>
        <v>60561.750999999997</v>
      </c>
      <c r="G87" s="153">
        <f t="shared" ref="G87:N87" si="62">G58+G62+G71+G60+G67+G61</f>
        <v>2102.8020000000001</v>
      </c>
      <c r="H87" s="153">
        <f t="shared" si="62"/>
        <v>2280.1089999999999</v>
      </c>
      <c r="I87" s="153">
        <f t="shared" si="62"/>
        <v>2723.5039999999999</v>
      </c>
      <c r="J87" s="153">
        <f t="shared" si="62"/>
        <v>2593.9670000000001</v>
      </c>
      <c r="K87" s="153">
        <f t="shared" si="62"/>
        <v>4740.5129999999999</v>
      </c>
      <c r="L87" s="153">
        <f t="shared" si="62"/>
        <v>6214.6260000000002</v>
      </c>
      <c r="M87" s="153">
        <f t="shared" si="62"/>
        <v>2293.5329999999999</v>
      </c>
      <c r="N87" s="153">
        <f t="shared" si="62"/>
        <v>10233.036</v>
      </c>
      <c r="O87" s="153">
        <f>O58+O62+O71+O60+O67+O61+O54+O55+O56</f>
        <v>15971.602999999999</v>
      </c>
      <c r="P87" s="153">
        <f>P58+P62+P71+P60+P67+P61+P54+P55+P56</f>
        <v>1660.5430000000001</v>
      </c>
      <c r="Q87" s="153">
        <f>Q58+Q62+Q71+Q60+Q67+Q61+Q54+Q55+Q56+Q59</f>
        <v>1985.8419999999999</v>
      </c>
      <c r="R87" s="153">
        <f>R58+R62+R71+R60+R67+R61+R54+R55+R56+R59+R57</f>
        <v>7761.6729999999998</v>
      </c>
      <c r="S87" s="93">
        <f t="shared" si="51"/>
        <v>-1149.6082800000077</v>
      </c>
      <c r="T87" s="151">
        <f t="shared" si="52"/>
        <v>98.137120469533102</v>
      </c>
      <c r="U87" s="153">
        <f>U58+U62+U71+U60+U67+U65+U61+U54+U55+U56+U66+U68+U69+U70</f>
        <v>84060.185000000012</v>
      </c>
      <c r="V87" s="93">
        <f>F87-U87</f>
        <v>-23498.434000000016</v>
      </c>
      <c r="W87" s="151">
        <f>F87/U87*100</f>
        <v>72.045702730727982</v>
      </c>
    </row>
    <row r="88" spans="1:28" s="5" customFormat="1" ht="23.25" x14ac:dyDescent="0.25">
      <c r="A88" s="11"/>
      <c r="B88" s="33"/>
      <c r="C88" s="14"/>
      <c r="D88" s="153"/>
      <c r="E88" s="153"/>
      <c r="F88" s="153"/>
      <c r="G88" s="153"/>
      <c r="H88" s="153"/>
      <c r="I88" s="153"/>
      <c r="J88" s="153"/>
      <c r="K88" s="153"/>
      <c r="L88" s="153"/>
      <c r="M88" s="153"/>
      <c r="N88" s="153"/>
      <c r="O88" s="153"/>
      <c r="P88" s="153"/>
      <c r="Q88" s="153"/>
      <c r="R88" s="153"/>
      <c r="S88" s="93"/>
      <c r="T88" s="151"/>
      <c r="U88" s="153"/>
      <c r="V88" s="93"/>
      <c r="W88" s="151"/>
    </row>
    <row r="89" spans="1:28" s="110" customFormat="1" ht="23.25" x14ac:dyDescent="0.3">
      <c r="A89" s="103"/>
      <c r="B89" s="104" t="s">
        <v>27</v>
      </c>
      <c r="C89" s="105"/>
      <c r="D89" s="106">
        <f>D82+D48</f>
        <v>4495744.1909999996</v>
      </c>
      <c r="E89" s="106">
        <f>E82+E48</f>
        <v>4428824.1762799993</v>
      </c>
      <c r="F89" s="106">
        <f t="shared" si="25"/>
        <v>4519331.2439999999</v>
      </c>
      <c r="G89" s="106">
        <f t="shared" ref="G89:N89" si="63">G82+G48</f>
        <v>284202.34499999997</v>
      </c>
      <c r="H89" s="106">
        <f t="shared" si="63"/>
        <v>359907.94199999998</v>
      </c>
      <c r="I89" s="106">
        <f t="shared" si="63"/>
        <v>333994.50400000002</v>
      </c>
      <c r="J89" s="106">
        <f t="shared" si="63"/>
        <v>368343.10199999996</v>
      </c>
      <c r="K89" s="106">
        <f t="shared" si="63"/>
        <v>387851.82199999999</v>
      </c>
      <c r="L89" s="106">
        <f t="shared" si="63"/>
        <v>439814.652</v>
      </c>
      <c r="M89" s="106">
        <f t="shared" si="63"/>
        <v>352295.92200000002</v>
      </c>
      <c r="N89" s="106">
        <f t="shared" si="63"/>
        <v>350748.72600000002</v>
      </c>
      <c r="O89" s="106">
        <f t="shared" ref="O89:Q89" si="64">O82+O48</f>
        <v>347817.62999999995</v>
      </c>
      <c r="P89" s="106">
        <f t="shared" si="64"/>
        <v>437932.67900000018</v>
      </c>
      <c r="Q89" s="106">
        <f t="shared" si="64"/>
        <v>424358.17100000009</v>
      </c>
      <c r="R89" s="106">
        <f>R82+R48</f>
        <v>432063.74899999995</v>
      </c>
      <c r="S89" s="107">
        <f t="shared" si="51"/>
        <v>90507.067720000632</v>
      </c>
      <c r="T89" s="108">
        <f t="shared" si="52"/>
        <v>102.04359134879954</v>
      </c>
      <c r="U89" s="106">
        <f>U82+U48</f>
        <v>3893503.1379999989</v>
      </c>
      <c r="V89" s="107">
        <f>F89-U89</f>
        <v>625828.10600000108</v>
      </c>
      <c r="W89" s="108">
        <f>F89/U89*100</f>
        <v>116.07365099804375</v>
      </c>
      <c r="X89" s="106">
        <v>3893503.1380000003</v>
      </c>
      <c r="Y89" s="109">
        <f>X89-U89</f>
        <v>0</v>
      </c>
      <c r="AB89" s="109"/>
    </row>
    <row r="90" spans="1:28" s="7" customFormat="1" ht="24" customHeight="1" x14ac:dyDescent="0.25">
      <c r="A90" s="199" t="s">
        <v>9</v>
      </c>
      <c r="B90" s="199"/>
      <c r="C90" s="199"/>
      <c r="D90" s="199"/>
      <c r="E90" s="199"/>
      <c r="F90" s="199"/>
      <c r="G90" s="199"/>
      <c r="H90" s="199"/>
      <c r="I90" s="199"/>
      <c r="J90" s="199"/>
      <c r="K90" s="199"/>
      <c r="L90" s="199"/>
      <c r="M90" s="199"/>
      <c r="N90" s="199"/>
      <c r="O90" s="199"/>
      <c r="P90" s="199"/>
      <c r="Q90" s="199"/>
      <c r="R90" s="199"/>
      <c r="S90" s="199"/>
      <c r="T90" s="199"/>
      <c r="U90" s="199"/>
      <c r="V90" s="199"/>
      <c r="W90" s="199"/>
    </row>
    <row r="91" spans="1:28" s="44" customFormat="1" ht="38.25" customHeight="1" x14ac:dyDescent="0.3">
      <c r="A91" s="173">
        <v>1</v>
      </c>
      <c r="B91" s="140" t="s">
        <v>12</v>
      </c>
      <c r="C91" s="133" t="s">
        <v>21</v>
      </c>
      <c r="D91" s="152">
        <f>D92+D93</f>
        <v>70446.198000000004</v>
      </c>
      <c r="E91" s="152">
        <f t="shared" ref="E91:E141" si="65">D91</f>
        <v>70446.198000000004</v>
      </c>
      <c r="F91" s="147">
        <f t="shared" ref="F91:F123" si="66">SUM(G91:R91)</f>
        <v>130566.62100000001</v>
      </c>
      <c r="G91" s="147">
        <f t="shared" ref="G91:R91" si="67">G92+G93</f>
        <v>3860.3049999999998</v>
      </c>
      <c r="H91" s="147">
        <f t="shared" ref="H91:Q91" si="68">H92+H93</f>
        <v>8760.2950000000001</v>
      </c>
      <c r="I91" s="147">
        <f t="shared" si="68"/>
        <v>5848.7789999999995</v>
      </c>
      <c r="J91" s="147">
        <f t="shared" si="68"/>
        <v>5691.4560000000001</v>
      </c>
      <c r="K91" s="147">
        <f t="shared" si="68"/>
        <v>5209.8320000000003</v>
      </c>
      <c r="L91" s="147">
        <f t="shared" si="68"/>
        <v>4482.402</v>
      </c>
      <c r="M91" s="147">
        <f t="shared" si="68"/>
        <v>2835.93</v>
      </c>
      <c r="N91" s="147">
        <f t="shared" si="68"/>
        <v>5127.2709999999997</v>
      </c>
      <c r="O91" s="147">
        <f t="shared" si="68"/>
        <v>29524.797000000002</v>
      </c>
      <c r="P91" s="147">
        <f t="shared" si="68"/>
        <v>7839.7359999999999</v>
      </c>
      <c r="Q91" s="147">
        <f t="shared" si="68"/>
        <v>8924.6730000000007</v>
      </c>
      <c r="R91" s="147">
        <f t="shared" si="67"/>
        <v>42461.145000000004</v>
      </c>
      <c r="S91" s="148">
        <f t="shared" ref="S91:S123" si="69">F91-E91</f>
        <v>60120.42300000001</v>
      </c>
      <c r="T91" s="149">
        <f t="shared" ref="T91:T123" si="70">F91/E91*100</f>
        <v>185.342324648947</v>
      </c>
      <c r="U91" s="147">
        <f t="shared" ref="U91" si="71">U92+U93</f>
        <v>89132.510999999999</v>
      </c>
      <c r="V91" s="148">
        <f t="shared" ref="V91:V105" si="72">F91-U91</f>
        <v>41434.110000000015</v>
      </c>
      <c r="W91" s="149">
        <f t="shared" ref="W91:W102" si="73">F91/U91*100</f>
        <v>146.48596739297517</v>
      </c>
    </row>
    <row r="92" spans="1:28" s="47" customFormat="1" ht="39" x14ac:dyDescent="0.3">
      <c r="A92" s="135" t="s">
        <v>125</v>
      </c>
      <c r="B92" s="80" t="s">
        <v>121</v>
      </c>
      <c r="C92" s="14" t="s">
        <v>122</v>
      </c>
      <c r="D92" s="153">
        <v>70446.198000000004</v>
      </c>
      <c r="E92" s="153">
        <v>70446.198000000004</v>
      </c>
      <c r="F92" s="150">
        <f t="shared" si="66"/>
        <v>63694.393000000011</v>
      </c>
      <c r="G92" s="150">
        <v>3552.8009999999999</v>
      </c>
      <c r="H92" s="150">
        <v>6339.2150000000001</v>
      </c>
      <c r="I92" s="150">
        <v>5401.0349999999999</v>
      </c>
      <c r="J92" s="150">
        <v>4981.4170000000004</v>
      </c>
      <c r="K92" s="150">
        <v>4721.1689999999999</v>
      </c>
      <c r="L92" s="150">
        <v>2852.4169999999999</v>
      </c>
      <c r="M92" s="150">
        <v>2398.2049999999999</v>
      </c>
      <c r="N92" s="150">
        <v>3722.864</v>
      </c>
      <c r="O92" s="150">
        <v>6525.86</v>
      </c>
      <c r="P92" s="150">
        <v>6165.34</v>
      </c>
      <c r="Q92" s="150">
        <v>7568.27</v>
      </c>
      <c r="R92" s="150">
        <v>9465.7999999999993</v>
      </c>
      <c r="S92" s="93">
        <f t="shared" si="69"/>
        <v>-6751.804999999993</v>
      </c>
      <c r="T92" s="151">
        <f t="shared" si="70"/>
        <v>90.415657350308692</v>
      </c>
      <c r="U92" s="150">
        <v>58386.362000000001</v>
      </c>
      <c r="V92" s="93">
        <f t="shared" si="72"/>
        <v>5308.03100000001</v>
      </c>
      <c r="W92" s="151">
        <f t="shared" si="73"/>
        <v>109.09121722637903</v>
      </c>
    </row>
    <row r="93" spans="1:28" s="47" customFormat="1" ht="28.5" customHeight="1" x14ac:dyDescent="0.3">
      <c r="A93" s="135" t="s">
        <v>126</v>
      </c>
      <c r="B93" s="80" t="s">
        <v>123</v>
      </c>
      <c r="C93" s="14" t="s">
        <v>124</v>
      </c>
      <c r="D93" s="153">
        <v>0</v>
      </c>
      <c r="E93" s="153">
        <v>0</v>
      </c>
      <c r="F93" s="150">
        <f t="shared" si="66"/>
        <v>66872.228000000003</v>
      </c>
      <c r="G93" s="150">
        <v>307.50400000000002</v>
      </c>
      <c r="H93" s="150">
        <v>2421.08</v>
      </c>
      <c r="I93" s="150">
        <v>447.74400000000003</v>
      </c>
      <c r="J93" s="150">
        <v>710.03899999999999</v>
      </c>
      <c r="K93" s="150">
        <v>488.66300000000001</v>
      </c>
      <c r="L93" s="150">
        <v>1629.9849999999999</v>
      </c>
      <c r="M93" s="150">
        <v>437.72500000000002</v>
      </c>
      <c r="N93" s="150">
        <v>1404.4069999999999</v>
      </c>
      <c r="O93" s="150">
        <v>22998.937000000002</v>
      </c>
      <c r="P93" s="150">
        <v>1674.396</v>
      </c>
      <c r="Q93" s="150">
        <v>1356.403</v>
      </c>
      <c r="R93" s="150">
        <v>32995.345000000001</v>
      </c>
      <c r="S93" s="93">
        <f t="shared" si="69"/>
        <v>66872.228000000003</v>
      </c>
      <c r="T93" s="151"/>
      <c r="U93" s="150">
        <v>30746.148999999998</v>
      </c>
      <c r="V93" s="93">
        <f t="shared" si="72"/>
        <v>36126.079000000005</v>
      </c>
      <c r="W93" s="151">
        <f t="shared" si="73"/>
        <v>217.49789867992902</v>
      </c>
    </row>
    <row r="94" spans="1:28" s="44" customFormat="1" ht="23.25" x14ac:dyDescent="0.3">
      <c r="A94" s="173">
        <v>2</v>
      </c>
      <c r="B94" s="92" t="s">
        <v>31</v>
      </c>
      <c r="C94" s="133" t="s">
        <v>30</v>
      </c>
      <c r="D94" s="152">
        <v>2267.6</v>
      </c>
      <c r="E94" s="152">
        <v>1996.6</v>
      </c>
      <c r="F94" s="147">
        <f t="shared" si="66"/>
        <v>2103.0140000000001</v>
      </c>
      <c r="G94" s="147">
        <v>68.402000000000001</v>
      </c>
      <c r="H94" s="147">
        <v>214.45699999999999</v>
      </c>
      <c r="I94" s="147">
        <v>85.447999999999993</v>
      </c>
      <c r="J94" s="147">
        <v>196.76599999999999</v>
      </c>
      <c r="K94" s="147">
        <v>289.00900000000001</v>
      </c>
      <c r="L94" s="147">
        <v>97.941000000000003</v>
      </c>
      <c r="M94" s="147">
        <v>108.371</v>
      </c>
      <c r="N94" s="147">
        <v>285.29300000000001</v>
      </c>
      <c r="O94" s="147">
        <v>86.402000000000001</v>
      </c>
      <c r="P94" s="147">
        <v>107.072</v>
      </c>
      <c r="Q94" s="147">
        <v>296.27699999999999</v>
      </c>
      <c r="R94" s="147">
        <v>267.57600000000002</v>
      </c>
      <c r="S94" s="148">
        <f t="shared" si="69"/>
        <v>106.41400000000021</v>
      </c>
      <c r="T94" s="149">
        <f t="shared" si="70"/>
        <v>105.32976059300812</v>
      </c>
      <c r="U94" s="147">
        <v>827.34900000000016</v>
      </c>
      <c r="V94" s="148">
        <f t="shared" si="72"/>
        <v>1275.665</v>
      </c>
      <c r="W94" s="149">
        <f t="shared" si="73"/>
        <v>254.18704802930802</v>
      </c>
    </row>
    <row r="95" spans="1:28" s="44" customFormat="1" ht="39" x14ac:dyDescent="0.3">
      <c r="A95" s="173">
        <f t="shared" ref="A95:A98" si="74">A94+1</f>
        <v>3</v>
      </c>
      <c r="B95" s="92" t="s">
        <v>88</v>
      </c>
      <c r="C95" s="133">
        <v>21110000</v>
      </c>
      <c r="D95" s="152">
        <v>160</v>
      </c>
      <c r="E95" s="152">
        <v>188.80699999999999</v>
      </c>
      <c r="F95" s="147">
        <f t="shared" si="66"/>
        <v>188.80699999999999</v>
      </c>
      <c r="G95" s="147">
        <v>0</v>
      </c>
      <c r="H95" s="147">
        <v>0</v>
      </c>
      <c r="I95" s="147">
        <v>13.731999999999999</v>
      </c>
      <c r="J95" s="147">
        <v>0</v>
      </c>
      <c r="K95" s="147">
        <v>0</v>
      </c>
      <c r="L95" s="147">
        <v>26.204999999999998</v>
      </c>
      <c r="M95" s="147">
        <v>39.994999999999997</v>
      </c>
      <c r="N95" s="147">
        <v>0</v>
      </c>
      <c r="O95" s="147">
        <v>0</v>
      </c>
      <c r="P95" s="147">
        <v>0</v>
      </c>
      <c r="Q95" s="147">
        <v>108.875</v>
      </c>
      <c r="R95" s="147">
        <v>0</v>
      </c>
      <c r="S95" s="148">
        <f t="shared" si="69"/>
        <v>0</v>
      </c>
      <c r="T95" s="149">
        <f t="shared" si="70"/>
        <v>100</v>
      </c>
      <c r="U95" s="147">
        <v>63.779000000000003</v>
      </c>
      <c r="V95" s="148">
        <f t="shared" si="72"/>
        <v>125.02799999999999</v>
      </c>
      <c r="W95" s="149">
        <f t="shared" si="73"/>
        <v>296.03317706455101</v>
      </c>
    </row>
    <row r="96" spans="1:28" s="44" customFormat="1" ht="39" x14ac:dyDescent="0.3">
      <c r="A96" s="173">
        <f t="shared" si="74"/>
        <v>4</v>
      </c>
      <c r="B96" s="140" t="s">
        <v>26</v>
      </c>
      <c r="C96" s="133" t="s">
        <v>25</v>
      </c>
      <c r="D96" s="152">
        <v>15.7</v>
      </c>
      <c r="E96" s="152">
        <v>221.3</v>
      </c>
      <c r="F96" s="147">
        <f t="shared" si="66"/>
        <v>239.96099999999996</v>
      </c>
      <c r="G96" s="147">
        <v>36.722000000000001</v>
      </c>
      <c r="H96" s="147">
        <v>1.931</v>
      </c>
      <c r="I96" s="147">
        <v>93.322999999999993</v>
      </c>
      <c r="J96" s="147">
        <v>2.0529999999999999</v>
      </c>
      <c r="K96" s="147">
        <v>7.9269999999999996</v>
      </c>
      <c r="L96" s="147">
        <v>5.2</v>
      </c>
      <c r="M96" s="147">
        <v>0.2</v>
      </c>
      <c r="N96" s="147">
        <v>0.81299999999999994</v>
      </c>
      <c r="O96" s="147">
        <v>14.423</v>
      </c>
      <c r="P96" s="147">
        <v>43.954000000000001</v>
      </c>
      <c r="Q96" s="147">
        <v>2.1560000000000001</v>
      </c>
      <c r="R96" s="147">
        <v>31.259</v>
      </c>
      <c r="S96" s="148">
        <f t="shared" si="69"/>
        <v>18.660999999999945</v>
      </c>
      <c r="T96" s="149">
        <f t="shared" si="70"/>
        <v>108.43244464527788</v>
      </c>
      <c r="U96" s="147">
        <v>21.145</v>
      </c>
      <c r="V96" s="148">
        <f t="shared" si="72"/>
        <v>218.81599999999995</v>
      </c>
      <c r="W96" s="149">
        <f t="shared" si="73"/>
        <v>1134.8356585481199</v>
      </c>
    </row>
    <row r="97" spans="1:24" s="44" customFormat="1" ht="58.5" x14ac:dyDescent="0.3">
      <c r="A97" s="173">
        <f t="shared" si="74"/>
        <v>5</v>
      </c>
      <c r="B97" s="140" t="s">
        <v>67</v>
      </c>
      <c r="C97" s="133" t="s">
        <v>68</v>
      </c>
      <c r="D97" s="152">
        <v>0.4</v>
      </c>
      <c r="E97" s="152">
        <v>0.17399999999999999</v>
      </c>
      <c r="F97" s="147">
        <f t="shared" si="66"/>
        <v>0.17400000000000004</v>
      </c>
      <c r="G97" s="147">
        <v>3.5000000000000003E-2</v>
      </c>
      <c r="H97" s="147">
        <v>2.4E-2</v>
      </c>
      <c r="I97" s="147">
        <v>1.7000000000000001E-2</v>
      </c>
      <c r="J97" s="147">
        <v>1.4E-2</v>
      </c>
      <c r="K97" s="147">
        <v>2.7E-2</v>
      </c>
      <c r="L97" s="147">
        <v>1.7999999999999999E-2</v>
      </c>
      <c r="M97" s="147">
        <v>1.4E-2</v>
      </c>
      <c r="N97" s="147">
        <v>8.9999999999999993E-3</v>
      </c>
      <c r="O97" s="147">
        <v>1.6E-2</v>
      </c>
      <c r="P97" s="147">
        <v>0</v>
      </c>
      <c r="Q97" s="147">
        <v>0</v>
      </c>
      <c r="R97" s="147">
        <v>0</v>
      </c>
      <c r="S97" s="148">
        <f t="shared" si="69"/>
        <v>0</v>
      </c>
      <c r="T97" s="149">
        <f t="shared" si="70"/>
        <v>100.00000000000003</v>
      </c>
      <c r="U97" s="147">
        <v>0.45200000000000001</v>
      </c>
      <c r="V97" s="148">
        <f t="shared" si="72"/>
        <v>-0.27799999999999997</v>
      </c>
      <c r="W97" s="149">
        <f t="shared" si="73"/>
        <v>38.495575221238951</v>
      </c>
    </row>
    <row r="98" spans="1:24" s="23" customFormat="1" ht="27.75" customHeight="1" x14ac:dyDescent="0.3">
      <c r="A98" s="9">
        <f t="shared" si="74"/>
        <v>6</v>
      </c>
      <c r="B98" s="13" t="s">
        <v>10</v>
      </c>
      <c r="C98" s="6"/>
      <c r="D98" s="139">
        <f>SUM(D99:D102)</f>
        <v>90003.199999999997</v>
      </c>
      <c r="E98" s="139">
        <f>SUM(E99:E102)</f>
        <v>98382.087</v>
      </c>
      <c r="F98" s="139">
        <f>SUM(G98:R98)</f>
        <v>101816.54499999998</v>
      </c>
      <c r="G98" s="139">
        <f t="shared" ref="G98:R98" si="75">SUM(G99:G102)</f>
        <v>8655.4589999999989</v>
      </c>
      <c r="H98" s="139">
        <f t="shared" si="75"/>
        <v>1630.1189999999999</v>
      </c>
      <c r="I98" s="139">
        <f t="shared" si="75"/>
        <v>10702.722</v>
      </c>
      <c r="J98" s="139">
        <f t="shared" si="75"/>
        <v>5034.759</v>
      </c>
      <c r="K98" s="139">
        <f t="shared" ref="K98:Q98" si="76">SUM(K99:K102)</f>
        <v>5015.4139999999998</v>
      </c>
      <c r="L98" s="139">
        <f t="shared" si="76"/>
        <v>13135.803</v>
      </c>
      <c r="M98" s="139">
        <f t="shared" si="76"/>
        <v>3736.8130000000001</v>
      </c>
      <c r="N98" s="139">
        <f t="shared" si="76"/>
        <v>11192.501</v>
      </c>
      <c r="O98" s="139">
        <f t="shared" si="76"/>
        <v>6998.9230000000007</v>
      </c>
      <c r="P98" s="139">
        <f t="shared" si="76"/>
        <v>3311.875</v>
      </c>
      <c r="Q98" s="139">
        <f t="shared" si="76"/>
        <v>11215.210999999999</v>
      </c>
      <c r="R98" s="139">
        <f t="shared" si="75"/>
        <v>21186.946</v>
      </c>
      <c r="S98" s="139">
        <f t="shared" si="69"/>
        <v>3434.4579999999842</v>
      </c>
      <c r="T98" s="71">
        <f t="shared" si="70"/>
        <v>103.49093834531075</v>
      </c>
      <c r="U98" s="139">
        <f>SUM(U99:U103)</f>
        <v>95615.163</v>
      </c>
      <c r="V98" s="70">
        <f t="shared" si="72"/>
        <v>6201.3819999999832</v>
      </c>
      <c r="W98" s="71">
        <f t="shared" si="73"/>
        <v>106.48577255471497</v>
      </c>
      <c r="X98" s="45"/>
    </row>
    <row r="99" spans="1:24" s="47" customFormat="1" ht="39" x14ac:dyDescent="0.3">
      <c r="A99" s="11" t="s">
        <v>134</v>
      </c>
      <c r="B99" s="80" t="s">
        <v>144</v>
      </c>
      <c r="C99" s="14" t="s">
        <v>63</v>
      </c>
      <c r="D99" s="153">
        <v>3.2</v>
      </c>
      <c r="E99" s="153">
        <v>3.2</v>
      </c>
      <c r="F99" s="150">
        <f t="shared" si="66"/>
        <v>3.2</v>
      </c>
      <c r="G99" s="150">
        <v>0</v>
      </c>
      <c r="H99" s="150">
        <v>0</v>
      </c>
      <c r="I99" s="150">
        <v>0</v>
      </c>
      <c r="J99" s="150">
        <v>0</v>
      </c>
      <c r="K99" s="150">
        <v>0</v>
      </c>
      <c r="L99" s="150">
        <v>2.2000000000000002</v>
      </c>
      <c r="M99" s="150">
        <v>0</v>
      </c>
      <c r="N99" s="150">
        <v>0</v>
      </c>
      <c r="O99" s="150">
        <v>0</v>
      </c>
      <c r="P99" s="150">
        <v>0</v>
      </c>
      <c r="Q99" s="150">
        <v>1</v>
      </c>
      <c r="R99" s="150">
        <v>0</v>
      </c>
      <c r="S99" s="93">
        <f t="shared" si="69"/>
        <v>0</v>
      </c>
      <c r="T99" s="151">
        <f t="shared" si="70"/>
        <v>100</v>
      </c>
      <c r="U99" s="150">
        <v>3.2</v>
      </c>
      <c r="V99" s="93">
        <f t="shared" si="72"/>
        <v>0</v>
      </c>
      <c r="W99" s="151">
        <f t="shared" si="73"/>
        <v>100</v>
      </c>
    </row>
    <row r="100" spans="1:24" s="47" customFormat="1" ht="39" x14ac:dyDescent="0.3">
      <c r="A100" s="11" t="s">
        <v>135</v>
      </c>
      <c r="B100" s="80" t="s">
        <v>202</v>
      </c>
      <c r="C100" s="14" t="s">
        <v>43</v>
      </c>
      <c r="D100" s="153">
        <v>0</v>
      </c>
      <c r="E100" s="153">
        <v>19441.215</v>
      </c>
      <c r="F100" s="150">
        <f t="shared" si="66"/>
        <v>19865.962</v>
      </c>
      <c r="G100" s="150">
        <v>6037.933</v>
      </c>
      <c r="H100" s="150">
        <v>25.300999999999998</v>
      </c>
      <c r="I100" s="150">
        <v>2133.0540000000001</v>
      </c>
      <c r="J100" s="150">
        <v>152.38399999999999</v>
      </c>
      <c r="K100" s="150">
        <v>501.82100000000003</v>
      </c>
      <c r="L100" s="150">
        <v>1883.74</v>
      </c>
      <c r="M100" s="150">
        <v>1009.088</v>
      </c>
      <c r="N100" s="150">
        <v>281.81700000000001</v>
      </c>
      <c r="O100" s="150">
        <v>1550.6010000000001</v>
      </c>
      <c r="P100" s="150">
        <v>308.80099999999999</v>
      </c>
      <c r="Q100" s="150">
        <v>308.21600000000001</v>
      </c>
      <c r="R100" s="150">
        <v>5673.2060000000001</v>
      </c>
      <c r="S100" s="93">
        <f t="shared" si="69"/>
        <v>424.74699999999939</v>
      </c>
      <c r="T100" s="151">
        <f t="shared" si="70"/>
        <v>102.18477600294014</v>
      </c>
      <c r="U100" s="150">
        <v>22288.498</v>
      </c>
      <c r="V100" s="93">
        <f t="shared" si="72"/>
        <v>-2422.5360000000001</v>
      </c>
      <c r="W100" s="151">
        <f t="shared" si="73"/>
        <v>89.131003802948044</v>
      </c>
    </row>
    <row r="101" spans="1:24" s="47" customFormat="1" ht="23.25" x14ac:dyDescent="0.3">
      <c r="A101" s="11" t="s">
        <v>136</v>
      </c>
      <c r="B101" s="80" t="s">
        <v>35</v>
      </c>
      <c r="C101" s="14" t="s">
        <v>22</v>
      </c>
      <c r="D101" s="153">
        <v>20000</v>
      </c>
      <c r="E101" s="153">
        <v>18079</v>
      </c>
      <c r="F101" s="150">
        <f t="shared" si="66"/>
        <v>18079.089</v>
      </c>
      <c r="G101" s="150">
        <v>0</v>
      </c>
      <c r="H101" s="150">
        <v>0</v>
      </c>
      <c r="I101" s="150">
        <v>2908.8789999999999</v>
      </c>
      <c r="J101" s="150">
        <v>1291.645</v>
      </c>
      <c r="K101" s="150">
        <v>0</v>
      </c>
      <c r="L101" s="150">
        <v>7448.0630000000001</v>
      </c>
      <c r="M101" s="150">
        <v>535.94399999999996</v>
      </c>
      <c r="N101" s="150">
        <v>0</v>
      </c>
      <c r="O101" s="150">
        <v>1453.518</v>
      </c>
      <c r="P101" s="150">
        <v>0</v>
      </c>
      <c r="Q101" s="150">
        <v>3596.232</v>
      </c>
      <c r="R101" s="150">
        <v>844.80799999999999</v>
      </c>
      <c r="S101" s="93">
        <f t="shared" si="69"/>
        <v>8.8999999999941792E-2</v>
      </c>
      <c r="T101" s="151">
        <f t="shared" si="70"/>
        <v>100.00049228386526</v>
      </c>
      <c r="U101" s="150">
        <v>14579.006000000001</v>
      </c>
      <c r="V101" s="93">
        <f t="shared" si="72"/>
        <v>3500.0829999999987</v>
      </c>
      <c r="W101" s="151">
        <f t="shared" si="73"/>
        <v>124.00769297989176</v>
      </c>
    </row>
    <row r="102" spans="1:24" s="46" customFormat="1" ht="23.25" x14ac:dyDescent="0.3">
      <c r="A102" s="11" t="s">
        <v>137</v>
      </c>
      <c r="B102" s="33" t="s">
        <v>69</v>
      </c>
      <c r="C102" s="14" t="s">
        <v>41</v>
      </c>
      <c r="D102" s="153">
        <v>70000</v>
      </c>
      <c r="E102" s="153">
        <v>60858.671999999999</v>
      </c>
      <c r="F102" s="153">
        <f t="shared" si="66"/>
        <v>63868.293999999994</v>
      </c>
      <c r="G102" s="153">
        <v>2617.5259999999998</v>
      </c>
      <c r="H102" s="153">
        <v>1604.818</v>
      </c>
      <c r="I102" s="153">
        <v>5660.7889999999998</v>
      </c>
      <c r="J102" s="153">
        <v>3590.73</v>
      </c>
      <c r="K102" s="153">
        <v>4513.5929999999998</v>
      </c>
      <c r="L102" s="153">
        <v>3801.8</v>
      </c>
      <c r="M102" s="153">
        <v>2191.7809999999999</v>
      </c>
      <c r="N102" s="153">
        <v>10910.683999999999</v>
      </c>
      <c r="O102" s="153">
        <v>3994.8040000000001</v>
      </c>
      <c r="P102" s="153">
        <v>3003.0740000000001</v>
      </c>
      <c r="Q102" s="153">
        <v>7309.7629999999999</v>
      </c>
      <c r="R102" s="153">
        <v>14668.932000000001</v>
      </c>
      <c r="S102" s="93">
        <f t="shared" si="69"/>
        <v>3009.6219999999958</v>
      </c>
      <c r="T102" s="151">
        <f t="shared" si="70"/>
        <v>104.94526400444624</v>
      </c>
      <c r="U102" s="153">
        <v>58544.45900000001</v>
      </c>
      <c r="V102" s="93">
        <f t="shared" si="72"/>
        <v>5323.8349999999846</v>
      </c>
      <c r="W102" s="151">
        <f t="shared" si="73"/>
        <v>109.09366162218697</v>
      </c>
    </row>
    <row r="103" spans="1:24" s="46" customFormat="1" ht="39" x14ac:dyDescent="0.3">
      <c r="A103" s="11" t="s">
        <v>176</v>
      </c>
      <c r="B103" s="33" t="s">
        <v>239</v>
      </c>
      <c r="C103" s="168" t="s">
        <v>119</v>
      </c>
      <c r="D103" s="153">
        <v>0</v>
      </c>
      <c r="E103" s="153">
        <v>0</v>
      </c>
      <c r="F103" s="153">
        <f t="shared" si="66"/>
        <v>0</v>
      </c>
      <c r="G103" s="153">
        <v>0</v>
      </c>
      <c r="H103" s="153">
        <v>0</v>
      </c>
      <c r="I103" s="153">
        <v>0</v>
      </c>
      <c r="J103" s="153">
        <v>0</v>
      </c>
      <c r="K103" s="153">
        <v>0</v>
      </c>
      <c r="L103" s="153">
        <v>0</v>
      </c>
      <c r="M103" s="153">
        <v>0</v>
      </c>
      <c r="N103" s="153">
        <v>0</v>
      </c>
      <c r="O103" s="153">
        <v>0</v>
      </c>
      <c r="P103" s="153">
        <v>0</v>
      </c>
      <c r="Q103" s="153">
        <v>0</v>
      </c>
      <c r="R103" s="153">
        <v>0</v>
      </c>
      <c r="S103" s="93">
        <f t="shared" si="69"/>
        <v>0</v>
      </c>
      <c r="T103" s="151"/>
      <c r="U103" s="153">
        <v>200</v>
      </c>
      <c r="V103" s="93">
        <f t="shared" si="72"/>
        <v>-200</v>
      </c>
      <c r="W103" s="151"/>
    </row>
    <row r="104" spans="1:24" s="44" customFormat="1" ht="23.25" x14ac:dyDescent="0.3">
      <c r="A104" s="173">
        <v>7</v>
      </c>
      <c r="B104" s="92" t="s">
        <v>11</v>
      </c>
      <c r="C104" s="133" t="s">
        <v>23</v>
      </c>
      <c r="D104" s="152">
        <v>6000</v>
      </c>
      <c r="E104" s="152">
        <v>9300</v>
      </c>
      <c r="F104" s="147">
        <f t="shared" si="66"/>
        <v>10262.025000000001</v>
      </c>
      <c r="G104" s="147">
        <v>431.85300000000001</v>
      </c>
      <c r="H104" s="147">
        <v>403.06599999999997</v>
      </c>
      <c r="I104" s="147">
        <v>337.41399999999999</v>
      </c>
      <c r="J104" s="147">
        <v>348.38400000000001</v>
      </c>
      <c r="K104" s="147">
        <v>273.77199999999999</v>
      </c>
      <c r="L104" s="147">
        <v>1847.547</v>
      </c>
      <c r="M104" s="147">
        <v>967.10500000000002</v>
      </c>
      <c r="N104" s="147">
        <v>1121.1310000000001</v>
      </c>
      <c r="O104" s="147">
        <v>710.73900000000003</v>
      </c>
      <c r="P104" s="147">
        <v>362.01499999999999</v>
      </c>
      <c r="Q104" s="147">
        <v>1392.7</v>
      </c>
      <c r="R104" s="147">
        <v>2066.299</v>
      </c>
      <c r="S104" s="148">
        <f t="shared" si="69"/>
        <v>962.02500000000146</v>
      </c>
      <c r="T104" s="149">
        <f t="shared" si="70"/>
        <v>110.34435483870971</v>
      </c>
      <c r="U104" s="147">
        <v>8315.6460000000006</v>
      </c>
      <c r="V104" s="148">
        <f t="shared" si="72"/>
        <v>1946.3790000000008</v>
      </c>
      <c r="W104" s="149">
        <f>F104/U104*100</f>
        <v>123.40622724921191</v>
      </c>
    </row>
    <row r="105" spans="1:24" s="37" customFormat="1" ht="33.75" customHeight="1" x14ac:dyDescent="0.3">
      <c r="A105" s="35"/>
      <c r="B105" s="64" t="s">
        <v>157</v>
      </c>
      <c r="C105" s="36"/>
      <c r="D105" s="138">
        <f>D91+D94+D96+D97+D99+D100+D101+D102+D104+D95</f>
        <v>168893.098</v>
      </c>
      <c r="E105" s="138">
        <f>E91+E94+E96+E97+E99+E100+E101+E102+E104+E95</f>
        <v>180535.166</v>
      </c>
      <c r="F105" s="138">
        <f t="shared" si="66"/>
        <v>245177.147</v>
      </c>
      <c r="G105" s="138">
        <f t="shared" ref="G105:R105" si="77">G91+G94+G96+G97+G99+G100+G101+G102+G104+G95</f>
        <v>13052.776</v>
      </c>
      <c r="H105" s="138">
        <f t="shared" si="77"/>
        <v>11009.892</v>
      </c>
      <c r="I105" s="138">
        <f t="shared" si="77"/>
        <v>17081.435000000001</v>
      </c>
      <c r="J105" s="138">
        <f t="shared" si="77"/>
        <v>11273.431999999999</v>
      </c>
      <c r="K105" s="138">
        <f t="shared" ref="K105:Q105" si="78">K91+K94+K96+K97+K99+K100+K101+K102+K104+K95</f>
        <v>10795.981</v>
      </c>
      <c r="L105" s="138">
        <f t="shared" si="78"/>
        <v>19595.115999999998</v>
      </c>
      <c r="M105" s="138">
        <f t="shared" si="78"/>
        <v>7688.4280000000008</v>
      </c>
      <c r="N105" s="138">
        <f t="shared" si="78"/>
        <v>17727.018</v>
      </c>
      <c r="O105" s="138">
        <f t="shared" si="78"/>
        <v>37335.300000000003</v>
      </c>
      <c r="P105" s="138">
        <f t="shared" si="78"/>
        <v>11664.652</v>
      </c>
      <c r="Q105" s="138">
        <f t="shared" si="78"/>
        <v>21939.892000000003</v>
      </c>
      <c r="R105" s="138">
        <f t="shared" si="77"/>
        <v>66013.225000000006</v>
      </c>
      <c r="S105" s="65">
        <f t="shared" si="69"/>
        <v>64641.981</v>
      </c>
      <c r="T105" s="66">
        <f t="shared" si="70"/>
        <v>135.80575598218908</v>
      </c>
      <c r="U105" s="138">
        <f>U91+U94+U96+U97+U99+U100+U101+U102+U104+U95</f>
        <v>193776.04500000001</v>
      </c>
      <c r="V105" s="65">
        <f t="shared" si="72"/>
        <v>51401.101999999984</v>
      </c>
      <c r="W105" s="66">
        <f>F105/U105*100</f>
        <v>126.5260352485778</v>
      </c>
    </row>
    <row r="106" spans="1:24" s="49" customFormat="1" ht="22.5" hidden="1" x14ac:dyDescent="0.3">
      <c r="A106" s="48"/>
      <c r="B106" s="69"/>
      <c r="C106" s="40"/>
      <c r="D106" s="139"/>
      <c r="E106" s="139"/>
      <c r="F106" s="139"/>
      <c r="G106" s="139"/>
      <c r="H106" s="139"/>
      <c r="I106" s="139"/>
      <c r="J106" s="139"/>
      <c r="K106" s="139"/>
      <c r="L106" s="139"/>
      <c r="M106" s="139"/>
      <c r="N106" s="139"/>
      <c r="O106" s="139"/>
      <c r="P106" s="139"/>
      <c r="Q106" s="139"/>
      <c r="R106" s="139"/>
      <c r="S106" s="70"/>
      <c r="T106" s="71"/>
      <c r="U106" s="139"/>
      <c r="V106" s="70"/>
      <c r="W106" s="71"/>
    </row>
    <row r="107" spans="1:24" s="49" customFormat="1" ht="45" hidden="1" x14ac:dyDescent="0.3">
      <c r="A107" s="48"/>
      <c r="B107" s="69" t="s">
        <v>65</v>
      </c>
      <c r="C107" s="40"/>
      <c r="D107" s="139">
        <f>D105-D91</f>
        <v>98446.9</v>
      </c>
      <c r="E107" s="139">
        <f>E105-E91</f>
        <v>110088.96799999999</v>
      </c>
      <c r="F107" s="139">
        <f>SUM(G107:R107)</f>
        <v>114610.526</v>
      </c>
      <c r="G107" s="139">
        <f t="shared" ref="G107:R107" si="79">G105-G91</f>
        <v>9192.4709999999995</v>
      </c>
      <c r="H107" s="139">
        <f t="shared" si="79"/>
        <v>2249.5969999999998</v>
      </c>
      <c r="I107" s="139">
        <f t="shared" si="79"/>
        <v>11232.656000000003</v>
      </c>
      <c r="J107" s="139">
        <f t="shared" si="79"/>
        <v>5581.9759999999987</v>
      </c>
      <c r="K107" s="139">
        <f t="shared" ref="K107:Q107" si="80">K105-K91</f>
        <v>5586.1489999999994</v>
      </c>
      <c r="L107" s="139">
        <f t="shared" si="80"/>
        <v>15112.713999999998</v>
      </c>
      <c r="M107" s="139">
        <f t="shared" si="80"/>
        <v>4852.4980000000014</v>
      </c>
      <c r="N107" s="139">
        <f t="shared" si="80"/>
        <v>12599.746999999999</v>
      </c>
      <c r="O107" s="139">
        <f t="shared" si="80"/>
        <v>7810.5030000000006</v>
      </c>
      <c r="P107" s="139">
        <f t="shared" si="80"/>
        <v>3824.9160000000002</v>
      </c>
      <c r="Q107" s="139">
        <f t="shared" si="80"/>
        <v>13015.219000000003</v>
      </c>
      <c r="R107" s="139">
        <f t="shared" si="79"/>
        <v>23552.080000000002</v>
      </c>
      <c r="S107" s="70">
        <f t="shared" si="69"/>
        <v>4521.5580000000045</v>
      </c>
      <c r="T107" s="71">
        <f t="shared" si="70"/>
        <v>104.10718538119097</v>
      </c>
      <c r="U107" s="139">
        <f>U105-U91</f>
        <v>104643.53400000001</v>
      </c>
      <c r="V107" s="70">
        <f>F107-U107</f>
        <v>9966.9919999999838</v>
      </c>
      <c r="W107" s="71">
        <f>F107/U107*100</f>
        <v>109.52470890365763</v>
      </c>
    </row>
    <row r="108" spans="1:24" s="49" customFormat="1" ht="22.5" hidden="1" x14ac:dyDescent="0.3">
      <c r="A108" s="48"/>
      <c r="B108" s="101"/>
      <c r="C108" s="40"/>
      <c r="D108" s="139"/>
      <c r="E108" s="139"/>
      <c r="F108" s="139"/>
      <c r="G108" s="139"/>
      <c r="H108" s="139"/>
      <c r="I108" s="139"/>
      <c r="J108" s="139"/>
      <c r="K108" s="139"/>
      <c r="L108" s="139"/>
      <c r="M108" s="139"/>
      <c r="N108" s="139"/>
      <c r="O108" s="139"/>
      <c r="P108" s="139"/>
      <c r="Q108" s="139"/>
      <c r="R108" s="139"/>
      <c r="S108" s="70"/>
      <c r="T108" s="71"/>
      <c r="U108" s="139"/>
      <c r="V108" s="70"/>
      <c r="W108" s="71"/>
    </row>
    <row r="109" spans="1:24" s="134" customFormat="1" ht="63.75" customHeight="1" x14ac:dyDescent="0.25">
      <c r="A109" s="173">
        <v>1</v>
      </c>
      <c r="B109" s="196" t="s">
        <v>236</v>
      </c>
      <c r="C109" s="133" t="s">
        <v>73</v>
      </c>
      <c r="D109" s="152">
        <v>120420</v>
      </c>
      <c r="E109" s="152">
        <v>120420</v>
      </c>
      <c r="F109" s="152">
        <f t="shared" si="66"/>
        <v>18026.844000000001</v>
      </c>
      <c r="G109" s="152">
        <v>0</v>
      </c>
      <c r="H109" s="152">
        <v>0</v>
      </c>
      <c r="I109" s="152">
        <v>1530.3</v>
      </c>
      <c r="J109" s="152">
        <v>0</v>
      </c>
      <c r="K109" s="152">
        <v>2328</v>
      </c>
      <c r="L109" s="152">
        <v>0</v>
      </c>
      <c r="M109" s="152">
        <v>0</v>
      </c>
      <c r="N109" s="152">
        <v>0</v>
      </c>
      <c r="O109" s="152">
        <v>2182.5</v>
      </c>
      <c r="P109" s="152">
        <v>0</v>
      </c>
      <c r="Q109" s="152">
        <v>0</v>
      </c>
      <c r="R109" s="152">
        <v>11986.044</v>
      </c>
      <c r="S109" s="148">
        <f t="shared" si="69"/>
        <v>-102393.156</v>
      </c>
      <c r="T109" s="136">
        <f t="shared" si="70"/>
        <v>14.96997508719482</v>
      </c>
      <c r="U109" s="152">
        <v>191964.647</v>
      </c>
      <c r="V109" s="148">
        <f t="shared" ref="V109:V115" si="81">F109-U109</f>
        <v>-173937.80299999999</v>
      </c>
      <c r="W109" s="149">
        <f>F109/U109*100</f>
        <v>9.3907103634556215</v>
      </c>
    </row>
    <row r="110" spans="1:24" s="134" customFormat="1" ht="75" x14ac:dyDescent="0.25">
      <c r="A110" s="173">
        <f>A109+1</f>
        <v>2</v>
      </c>
      <c r="B110" s="196" t="s">
        <v>237</v>
      </c>
      <c r="C110" s="133" t="s">
        <v>175</v>
      </c>
      <c r="D110" s="152">
        <v>0</v>
      </c>
      <c r="E110" s="152">
        <v>42378.83178</v>
      </c>
      <c r="F110" s="152">
        <f t="shared" si="66"/>
        <v>42378.832000000002</v>
      </c>
      <c r="G110" s="152">
        <v>0</v>
      </c>
      <c r="H110" s="152">
        <v>0</v>
      </c>
      <c r="I110" s="152">
        <v>0</v>
      </c>
      <c r="J110" s="152">
        <v>0</v>
      </c>
      <c r="K110" s="152">
        <v>0</v>
      </c>
      <c r="L110" s="152">
        <v>0</v>
      </c>
      <c r="M110" s="152">
        <v>0</v>
      </c>
      <c r="N110" s="152">
        <v>13508.708000000001</v>
      </c>
      <c r="O110" s="152">
        <v>9000.2530000000006</v>
      </c>
      <c r="P110" s="152">
        <v>0</v>
      </c>
      <c r="Q110" s="152">
        <v>11064.79</v>
      </c>
      <c r="R110" s="152">
        <v>8805.0810000000001</v>
      </c>
      <c r="S110" s="148">
        <f t="shared" si="69"/>
        <v>2.2000000171829015E-4</v>
      </c>
      <c r="T110" s="136">
        <f t="shared" si="70"/>
        <v>100.0000005191271</v>
      </c>
      <c r="U110" s="152">
        <v>18825.361000000001</v>
      </c>
      <c r="V110" s="148">
        <f t="shared" si="81"/>
        <v>23553.471000000001</v>
      </c>
      <c r="W110" s="149">
        <f>F110/U110*100</f>
        <v>225.11564054468863</v>
      </c>
    </row>
    <row r="111" spans="1:24" s="134" customFormat="1" ht="93.75" x14ac:dyDescent="0.25">
      <c r="A111" s="194">
        <f t="shared" ref="A111:A113" si="82">A110+1</f>
        <v>3</v>
      </c>
      <c r="B111" s="196" t="s">
        <v>212</v>
      </c>
      <c r="C111" s="133" t="s">
        <v>213</v>
      </c>
      <c r="D111" s="152">
        <v>0</v>
      </c>
      <c r="E111" s="152">
        <v>70154.584000000003</v>
      </c>
      <c r="F111" s="152">
        <f t="shared" si="66"/>
        <v>70154.584000000003</v>
      </c>
      <c r="G111" s="152"/>
      <c r="H111" s="152"/>
      <c r="I111" s="152"/>
      <c r="J111" s="152"/>
      <c r="K111" s="152"/>
      <c r="L111" s="152"/>
      <c r="M111" s="152"/>
      <c r="N111" s="152"/>
      <c r="O111" s="152"/>
      <c r="P111" s="152"/>
      <c r="Q111" s="152"/>
      <c r="R111" s="152">
        <v>70154.584000000003</v>
      </c>
      <c r="S111" s="148">
        <f t="shared" ref="S111" si="83">F111-E111</f>
        <v>0</v>
      </c>
      <c r="T111" s="136">
        <f t="shared" ref="T111" si="84">F111/E111*100</f>
        <v>100</v>
      </c>
      <c r="U111" s="152"/>
      <c r="V111" s="148">
        <f t="shared" si="81"/>
        <v>70154.584000000003</v>
      </c>
      <c r="W111" s="149"/>
    </row>
    <row r="112" spans="1:24" s="134" customFormat="1" ht="37.5" x14ac:dyDescent="0.25">
      <c r="A112" s="194">
        <f t="shared" si="82"/>
        <v>4</v>
      </c>
      <c r="B112" s="196" t="s">
        <v>200</v>
      </c>
      <c r="C112" s="133" t="s">
        <v>133</v>
      </c>
      <c r="D112" s="152">
        <v>0</v>
      </c>
      <c r="E112" s="152">
        <v>1527</v>
      </c>
      <c r="F112" s="152">
        <f t="shared" si="66"/>
        <v>1525.38</v>
      </c>
      <c r="G112" s="152"/>
      <c r="H112" s="152"/>
      <c r="I112" s="152"/>
      <c r="J112" s="152"/>
      <c r="K112" s="152"/>
      <c r="L112" s="152"/>
      <c r="M112" s="152"/>
      <c r="N112" s="152"/>
      <c r="O112" s="152"/>
      <c r="P112" s="152"/>
      <c r="Q112" s="152">
        <v>0</v>
      </c>
      <c r="R112" s="152">
        <v>1525.38</v>
      </c>
      <c r="S112" s="148">
        <f t="shared" si="69"/>
        <v>-1.6199999999998909</v>
      </c>
      <c r="T112" s="136">
        <f t="shared" si="70"/>
        <v>99.893909626719065</v>
      </c>
      <c r="U112" s="152"/>
      <c r="V112" s="148">
        <f t="shared" si="81"/>
        <v>1525.38</v>
      </c>
      <c r="W112" s="149"/>
    </row>
    <row r="113" spans="1:25" s="134" customFormat="1" ht="23.25" x14ac:dyDescent="0.25">
      <c r="A113" s="194">
        <f t="shared" si="82"/>
        <v>5</v>
      </c>
      <c r="B113" s="160" t="s">
        <v>238</v>
      </c>
      <c r="C113" s="133" t="s">
        <v>119</v>
      </c>
      <c r="D113" s="152">
        <v>0</v>
      </c>
      <c r="E113" s="152">
        <f>E114+E115</f>
        <v>13000</v>
      </c>
      <c r="F113" s="152">
        <f t="shared" si="66"/>
        <v>13000.000000000002</v>
      </c>
      <c r="G113" s="152">
        <v>0</v>
      </c>
      <c r="H113" s="152">
        <v>0</v>
      </c>
      <c r="I113" s="152">
        <v>0</v>
      </c>
      <c r="J113" s="152">
        <v>0</v>
      </c>
      <c r="K113" s="152">
        <v>0</v>
      </c>
      <c r="L113" s="152">
        <v>0</v>
      </c>
      <c r="M113" s="152">
        <v>0</v>
      </c>
      <c r="N113" s="152">
        <v>0</v>
      </c>
      <c r="O113" s="152">
        <f>SUM(O114:O115)</f>
        <v>6546.7870000000003</v>
      </c>
      <c r="P113" s="152">
        <f>SUM(P114:P115)</f>
        <v>3561.7049999999999</v>
      </c>
      <c r="Q113" s="152">
        <f>SUM(Q114:Q115)</f>
        <v>2691.1930000000002</v>
      </c>
      <c r="R113" s="152">
        <f>SUM(R114:R115)</f>
        <v>200.315</v>
      </c>
      <c r="S113" s="148">
        <f t="shared" si="69"/>
        <v>0</v>
      </c>
      <c r="T113" s="136">
        <f t="shared" si="70"/>
        <v>100.00000000000003</v>
      </c>
      <c r="U113" s="152">
        <v>0</v>
      </c>
      <c r="V113" s="148">
        <f t="shared" si="81"/>
        <v>13000.000000000002</v>
      </c>
      <c r="W113" s="149"/>
    </row>
    <row r="114" spans="1:25" s="5" customFormat="1" ht="37.5" x14ac:dyDescent="0.25">
      <c r="A114" s="135"/>
      <c r="B114" s="197" t="s">
        <v>184</v>
      </c>
      <c r="C114" s="14"/>
      <c r="D114" s="153">
        <v>0</v>
      </c>
      <c r="E114" s="153">
        <v>3000</v>
      </c>
      <c r="F114" s="153">
        <f t="shared" si="66"/>
        <v>3000.0000000000005</v>
      </c>
      <c r="G114" s="153">
        <v>0</v>
      </c>
      <c r="H114" s="153">
        <v>0</v>
      </c>
      <c r="I114" s="153">
        <v>0</v>
      </c>
      <c r="J114" s="153">
        <v>0</v>
      </c>
      <c r="K114" s="153">
        <v>0</v>
      </c>
      <c r="L114" s="153">
        <v>0</v>
      </c>
      <c r="M114" s="153">
        <v>0</v>
      </c>
      <c r="N114" s="153">
        <v>0</v>
      </c>
      <c r="O114" s="153">
        <v>108.492</v>
      </c>
      <c r="P114" s="153">
        <v>0</v>
      </c>
      <c r="Q114" s="153">
        <f>1736.848+954.345</f>
        <v>2691.1930000000002</v>
      </c>
      <c r="R114" s="153">
        <v>200.315</v>
      </c>
      <c r="S114" s="93">
        <f t="shared" si="69"/>
        <v>0</v>
      </c>
      <c r="T114" s="179">
        <f t="shared" si="70"/>
        <v>100.00000000000003</v>
      </c>
      <c r="U114" s="153">
        <v>0</v>
      </c>
      <c r="V114" s="93">
        <f t="shared" si="81"/>
        <v>3000.0000000000005</v>
      </c>
      <c r="W114" s="151"/>
    </row>
    <row r="115" spans="1:25" s="5" customFormat="1" ht="23.25" x14ac:dyDescent="0.25">
      <c r="A115" s="135"/>
      <c r="B115" s="197" t="s">
        <v>185</v>
      </c>
      <c r="C115" s="14"/>
      <c r="D115" s="153">
        <v>0</v>
      </c>
      <c r="E115" s="153">
        <v>10000</v>
      </c>
      <c r="F115" s="153">
        <f t="shared" si="66"/>
        <v>10000</v>
      </c>
      <c r="G115" s="153">
        <v>0</v>
      </c>
      <c r="H115" s="153">
        <v>0</v>
      </c>
      <c r="I115" s="153">
        <v>0</v>
      </c>
      <c r="J115" s="153">
        <v>0</v>
      </c>
      <c r="K115" s="153">
        <v>0</v>
      </c>
      <c r="L115" s="153">
        <v>0</v>
      </c>
      <c r="M115" s="153">
        <v>0</v>
      </c>
      <c r="N115" s="153">
        <v>0</v>
      </c>
      <c r="O115" s="153">
        <v>6438.2950000000001</v>
      </c>
      <c r="P115" s="153">
        <f>1797.99+1763.715</f>
        <v>3561.7049999999999</v>
      </c>
      <c r="Q115" s="153">
        <v>0</v>
      </c>
      <c r="R115" s="153">
        <v>0</v>
      </c>
      <c r="S115" s="93">
        <f t="shared" si="69"/>
        <v>0</v>
      </c>
      <c r="T115" s="179">
        <f t="shared" si="70"/>
        <v>100</v>
      </c>
      <c r="U115" s="153">
        <v>0</v>
      </c>
      <c r="V115" s="93">
        <f t="shared" si="81"/>
        <v>10000</v>
      </c>
      <c r="W115" s="151"/>
    </row>
    <row r="116" spans="1:25" s="26" customFormat="1" ht="13.5" customHeight="1" x14ac:dyDescent="0.25">
      <c r="A116" s="25"/>
      <c r="B116" s="72"/>
      <c r="C116" s="18"/>
      <c r="D116" s="139"/>
      <c r="E116" s="139"/>
      <c r="F116" s="139"/>
      <c r="G116" s="139"/>
      <c r="H116" s="139"/>
      <c r="I116" s="139"/>
      <c r="J116" s="139"/>
      <c r="K116" s="139"/>
      <c r="L116" s="139"/>
      <c r="M116" s="139"/>
      <c r="N116" s="139"/>
      <c r="O116" s="139"/>
      <c r="P116" s="139"/>
      <c r="Q116" s="139"/>
      <c r="R116" s="139"/>
      <c r="S116" s="70"/>
      <c r="T116" s="71"/>
      <c r="U116" s="139"/>
      <c r="V116" s="70"/>
      <c r="W116" s="71"/>
    </row>
    <row r="117" spans="1:25" s="41" customFormat="1" ht="22.5" x14ac:dyDescent="0.3">
      <c r="A117" s="38"/>
      <c r="B117" s="42" t="s">
        <v>28</v>
      </c>
      <c r="C117" s="40"/>
      <c r="D117" s="139">
        <f>D118+D119</f>
        <v>120420</v>
      </c>
      <c r="E117" s="139">
        <f>E118+E119</f>
        <v>247480.41578000001</v>
      </c>
      <c r="F117" s="139">
        <f t="shared" si="66"/>
        <v>145085.64000000001</v>
      </c>
      <c r="G117" s="139">
        <f t="shared" ref="G117:R117" si="85">G118+G119</f>
        <v>0</v>
      </c>
      <c r="H117" s="139">
        <f t="shared" si="85"/>
        <v>0</v>
      </c>
      <c r="I117" s="139">
        <f t="shared" si="85"/>
        <v>1530.3</v>
      </c>
      <c r="J117" s="139">
        <f t="shared" si="85"/>
        <v>0</v>
      </c>
      <c r="K117" s="139">
        <f t="shared" ref="K117:Q117" si="86">K118+K119</f>
        <v>2328</v>
      </c>
      <c r="L117" s="139">
        <f t="shared" si="86"/>
        <v>0</v>
      </c>
      <c r="M117" s="139">
        <f t="shared" si="86"/>
        <v>0</v>
      </c>
      <c r="N117" s="139">
        <f t="shared" si="86"/>
        <v>13508.708000000001</v>
      </c>
      <c r="O117" s="139">
        <f t="shared" si="86"/>
        <v>17729.54</v>
      </c>
      <c r="P117" s="139">
        <f t="shared" si="86"/>
        <v>3561.7049999999999</v>
      </c>
      <c r="Q117" s="139">
        <f t="shared" si="86"/>
        <v>13755.983</v>
      </c>
      <c r="R117" s="139">
        <f t="shared" si="85"/>
        <v>92671.40400000001</v>
      </c>
      <c r="S117" s="70">
        <f t="shared" si="69"/>
        <v>-102394.77578</v>
      </c>
      <c r="T117" s="71">
        <f t="shared" si="70"/>
        <v>58.625099502408794</v>
      </c>
      <c r="U117" s="139">
        <f t="shared" ref="U117" si="87">U118+U119</f>
        <v>210990.008</v>
      </c>
      <c r="V117" s="70">
        <f>F117-U117</f>
        <v>-65904.367999999988</v>
      </c>
      <c r="W117" s="71">
        <f>F117/U117*100</f>
        <v>68.764223185393689</v>
      </c>
    </row>
    <row r="118" spans="1:25" s="5" customFormat="1" ht="23.25" hidden="1" x14ac:dyDescent="0.25">
      <c r="A118" s="11"/>
      <c r="B118" s="14" t="s">
        <v>109</v>
      </c>
      <c r="C118" s="14"/>
      <c r="D118" s="153">
        <f>D109</f>
        <v>120420</v>
      </c>
      <c r="E118" s="153">
        <f>E109</f>
        <v>120420</v>
      </c>
      <c r="F118" s="153">
        <f t="shared" si="66"/>
        <v>18026.844000000001</v>
      </c>
      <c r="G118" s="153">
        <f t="shared" ref="G118:R118" si="88">G109</f>
        <v>0</v>
      </c>
      <c r="H118" s="153">
        <f t="shared" si="88"/>
        <v>0</v>
      </c>
      <c r="I118" s="153">
        <f t="shared" si="88"/>
        <v>1530.3</v>
      </c>
      <c r="J118" s="153">
        <f t="shared" si="88"/>
        <v>0</v>
      </c>
      <c r="K118" s="153">
        <f t="shared" ref="K118:Q118" si="89">K109</f>
        <v>2328</v>
      </c>
      <c r="L118" s="153">
        <f t="shared" si="89"/>
        <v>0</v>
      </c>
      <c r="M118" s="153">
        <f t="shared" si="89"/>
        <v>0</v>
      </c>
      <c r="N118" s="153">
        <f t="shared" si="89"/>
        <v>0</v>
      </c>
      <c r="O118" s="153">
        <f t="shared" si="89"/>
        <v>2182.5</v>
      </c>
      <c r="P118" s="153">
        <f t="shared" si="89"/>
        <v>0</v>
      </c>
      <c r="Q118" s="153">
        <f t="shared" si="89"/>
        <v>0</v>
      </c>
      <c r="R118" s="153">
        <f t="shared" si="88"/>
        <v>11986.044</v>
      </c>
      <c r="S118" s="93">
        <f t="shared" si="69"/>
        <v>-102393.156</v>
      </c>
      <c r="T118" s="151">
        <f t="shared" si="70"/>
        <v>14.96997508719482</v>
      </c>
      <c r="U118" s="153">
        <f>U109</f>
        <v>191964.647</v>
      </c>
      <c r="V118" s="93">
        <f>F118-U118</f>
        <v>-173937.80299999999</v>
      </c>
      <c r="W118" s="151">
        <f>F118/U118*100</f>
        <v>9.3907103634556215</v>
      </c>
    </row>
    <row r="119" spans="1:25" s="5" customFormat="1" ht="23.25" hidden="1" x14ac:dyDescent="0.25">
      <c r="A119" s="11"/>
      <c r="B119" s="130" t="s">
        <v>108</v>
      </c>
      <c r="C119" s="14"/>
      <c r="D119" s="153">
        <f>D113</f>
        <v>0</v>
      </c>
      <c r="E119" s="153">
        <f>E113+E110+E112+E111</f>
        <v>127060.41578000001</v>
      </c>
      <c r="F119" s="153">
        <f>SUM(G119:R119)</f>
        <v>127058.79600000002</v>
      </c>
      <c r="G119" s="153">
        <f>G113+G110+G111+G112</f>
        <v>0</v>
      </c>
      <c r="H119" s="153">
        <f t="shared" ref="H119:R119" si="90">H113+H110+H111+H112</f>
        <v>0</v>
      </c>
      <c r="I119" s="153">
        <f t="shared" si="90"/>
        <v>0</v>
      </c>
      <c r="J119" s="153">
        <f t="shared" si="90"/>
        <v>0</v>
      </c>
      <c r="K119" s="153">
        <f t="shared" si="90"/>
        <v>0</v>
      </c>
      <c r="L119" s="153">
        <f t="shared" si="90"/>
        <v>0</v>
      </c>
      <c r="M119" s="153">
        <f t="shared" si="90"/>
        <v>0</v>
      </c>
      <c r="N119" s="153">
        <f t="shared" si="90"/>
        <v>13508.708000000001</v>
      </c>
      <c r="O119" s="153">
        <f t="shared" si="90"/>
        <v>15547.04</v>
      </c>
      <c r="P119" s="153">
        <f t="shared" si="90"/>
        <v>3561.7049999999999</v>
      </c>
      <c r="Q119" s="153">
        <f t="shared" si="90"/>
        <v>13755.983</v>
      </c>
      <c r="R119" s="153">
        <f t="shared" si="90"/>
        <v>80685.360000000015</v>
      </c>
      <c r="S119" s="93">
        <f t="shared" si="69"/>
        <v>-1.6197799999936251</v>
      </c>
      <c r="T119" s="151">
        <f t="shared" si="70"/>
        <v>99.998725189123576</v>
      </c>
      <c r="U119" s="153">
        <f>U110+U113+U103</f>
        <v>19025.361000000001</v>
      </c>
      <c r="V119" s="93">
        <f>F119-U119</f>
        <v>108033.43500000001</v>
      </c>
      <c r="W119" s="151">
        <f>F119/U119*100</f>
        <v>667.83908068814048</v>
      </c>
    </row>
    <row r="120" spans="1:25" s="7" customFormat="1" ht="10.5" customHeight="1" x14ac:dyDescent="0.25">
      <c r="A120" s="173"/>
      <c r="B120" s="30"/>
      <c r="C120" s="133"/>
      <c r="D120" s="152"/>
      <c r="E120" s="152"/>
      <c r="F120" s="155"/>
      <c r="G120" s="155"/>
      <c r="H120" s="155"/>
      <c r="I120" s="155"/>
      <c r="J120" s="155"/>
      <c r="K120" s="155"/>
      <c r="L120" s="155"/>
      <c r="M120" s="155"/>
      <c r="N120" s="155"/>
      <c r="O120" s="155"/>
      <c r="P120" s="155"/>
      <c r="Q120" s="155"/>
      <c r="R120" s="155"/>
      <c r="S120" s="148"/>
      <c r="T120" s="149"/>
      <c r="U120" s="155"/>
      <c r="V120" s="148"/>
      <c r="W120" s="149"/>
    </row>
    <row r="121" spans="1:25" s="110" customFormat="1" ht="36.75" customHeight="1" x14ac:dyDescent="0.3">
      <c r="A121" s="103"/>
      <c r="B121" s="104" t="s">
        <v>40</v>
      </c>
      <c r="C121" s="111"/>
      <c r="D121" s="106">
        <f>D105+D117</f>
        <v>289313.098</v>
      </c>
      <c r="E121" s="106">
        <f>E105+E117</f>
        <v>428015.58178000001</v>
      </c>
      <c r="F121" s="106">
        <f t="shared" si="66"/>
        <v>390262.78700000001</v>
      </c>
      <c r="G121" s="106">
        <f t="shared" ref="G121:R121" si="91">G105+G117</f>
        <v>13052.776</v>
      </c>
      <c r="H121" s="106">
        <f t="shared" si="91"/>
        <v>11009.892</v>
      </c>
      <c r="I121" s="106">
        <f t="shared" si="91"/>
        <v>18611.735000000001</v>
      </c>
      <c r="J121" s="106">
        <f t="shared" si="91"/>
        <v>11273.431999999999</v>
      </c>
      <c r="K121" s="106">
        <f t="shared" ref="K121:Q121" si="92">K105+K117</f>
        <v>13123.981</v>
      </c>
      <c r="L121" s="106">
        <f t="shared" si="92"/>
        <v>19595.115999999998</v>
      </c>
      <c r="M121" s="106">
        <f t="shared" si="92"/>
        <v>7688.4280000000008</v>
      </c>
      <c r="N121" s="106">
        <f t="shared" si="92"/>
        <v>31235.726000000002</v>
      </c>
      <c r="O121" s="106">
        <f t="shared" si="92"/>
        <v>55064.840000000004</v>
      </c>
      <c r="P121" s="106">
        <f t="shared" si="92"/>
        <v>15226.357</v>
      </c>
      <c r="Q121" s="106">
        <f t="shared" si="92"/>
        <v>35695.875</v>
      </c>
      <c r="R121" s="106">
        <f t="shared" si="91"/>
        <v>158684.62900000002</v>
      </c>
      <c r="S121" s="107">
        <f t="shared" si="69"/>
        <v>-37752.794779999997</v>
      </c>
      <c r="T121" s="108">
        <f t="shared" si="70"/>
        <v>91.179574672726531</v>
      </c>
      <c r="U121" s="106">
        <f>U105+U117</f>
        <v>404766.05300000001</v>
      </c>
      <c r="V121" s="107">
        <f>F121-U121</f>
        <v>-14503.266000000003</v>
      </c>
      <c r="W121" s="108">
        <f>F121/U121*100</f>
        <v>96.416876886659267</v>
      </c>
      <c r="X121" s="110">
        <v>404766.05299999996</v>
      </c>
      <c r="Y121" s="109">
        <f>X121-U121</f>
        <v>0</v>
      </c>
    </row>
    <row r="122" spans="1:25" s="41" customFormat="1" ht="22.5" hidden="1" x14ac:dyDescent="0.3">
      <c r="A122" s="38"/>
      <c r="B122" s="39"/>
      <c r="C122" s="40"/>
      <c r="D122" s="139"/>
      <c r="E122" s="139"/>
      <c r="F122" s="139"/>
      <c r="G122" s="139"/>
      <c r="H122" s="139"/>
      <c r="I122" s="139"/>
      <c r="J122" s="139"/>
      <c r="K122" s="139"/>
      <c r="L122" s="139"/>
      <c r="M122" s="139"/>
      <c r="N122" s="139"/>
      <c r="O122" s="139"/>
      <c r="P122" s="139"/>
      <c r="Q122" s="139"/>
      <c r="R122" s="139"/>
      <c r="S122" s="70"/>
      <c r="T122" s="71"/>
      <c r="U122" s="139"/>
      <c r="V122" s="70"/>
      <c r="W122" s="71"/>
    </row>
    <row r="123" spans="1:25" s="118" customFormat="1" ht="43.5" hidden="1" x14ac:dyDescent="0.3">
      <c r="A123" s="112"/>
      <c r="B123" s="91" t="s">
        <v>64</v>
      </c>
      <c r="C123" s="114"/>
      <c r="D123" s="115">
        <f>D121-D91</f>
        <v>218866.9</v>
      </c>
      <c r="E123" s="115">
        <f>E121-E91</f>
        <v>357569.38378000003</v>
      </c>
      <c r="F123" s="115">
        <f t="shared" si="66"/>
        <v>259696.16600000003</v>
      </c>
      <c r="G123" s="115">
        <f t="shared" ref="G123:R123" si="93">G121-G91</f>
        <v>9192.4709999999995</v>
      </c>
      <c r="H123" s="115">
        <f t="shared" si="93"/>
        <v>2249.5969999999998</v>
      </c>
      <c r="I123" s="115">
        <f t="shared" si="93"/>
        <v>12762.956000000002</v>
      </c>
      <c r="J123" s="115">
        <f t="shared" si="93"/>
        <v>5581.9759999999987</v>
      </c>
      <c r="K123" s="115">
        <f t="shared" ref="K123:Q123" si="94">K121-K91</f>
        <v>7914.1489999999994</v>
      </c>
      <c r="L123" s="115">
        <f t="shared" si="94"/>
        <v>15112.713999999998</v>
      </c>
      <c r="M123" s="115">
        <f t="shared" si="94"/>
        <v>4852.4980000000014</v>
      </c>
      <c r="N123" s="115">
        <f t="shared" si="94"/>
        <v>26108.455000000002</v>
      </c>
      <c r="O123" s="115">
        <f t="shared" si="94"/>
        <v>25540.043000000001</v>
      </c>
      <c r="P123" s="115">
        <f t="shared" si="94"/>
        <v>7386.6210000000001</v>
      </c>
      <c r="Q123" s="115">
        <f t="shared" si="94"/>
        <v>26771.201999999997</v>
      </c>
      <c r="R123" s="115">
        <f t="shared" si="93"/>
        <v>116223.48400000001</v>
      </c>
      <c r="S123" s="116">
        <f t="shared" si="69"/>
        <v>-97873.217780000006</v>
      </c>
      <c r="T123" s="117">
        <f t="shared" si="70"/>
        <v>72.628188480415872</v>
      </c>
      <c r="U123" s="115">
        <f>U121-U91</f>
        <v>315633.54200000002</v>
      </c>
      <c r="V123" s="116">
        <f>F123-U123</f>
        <v>-55937.375999999989</v>
      </c>
      <c r="W123" s="117">
        <f>F123/U123*100</f>
        <v>82.277746640754685</v>
      </c>
    </row>
    <row r="124" spans="1:25" s="10" customFormat="1" ht="25.5" customHeight="1" x14ac:dyDescent="0.25">
      <c r="A124" s="200" t="s">
        <v>39</v>
      </c>
      <c r="B124" s="200"/>
      <c r="C124" s="200"/>
      <c r="D124" s="200"/>
      <c r="E124" s="200"/>
      <c r="F124" s="200"/>
      <c r="G124" s="200"/>
      <c r="H124" s="200"/>
      <c r="I124" s="200"/>
      <c r="J124" s="200"/>
      <c r="K124" s="200"/>
      <c r="L124" s="200"/>
      <c r="M124" s="200"/>
      <c r="N124" s="200"/>
      <c r="O124" s="200"/>
      <c r="P124" s="200"/>
      <c r="Q124" s="200"/>
      <c r="R124" s="200"/>
      <c r="S124" s="200"/>
      <c r="T124" s="200"/>
      <c r="U124" s="200"/>
      <c r="V124" s="200"/>
      <c r="W124" s="200"/>
    </row>
    <row r="125" spans="1:25" s="118" customFormat="1" ht="33" customHeight="1" x14ac:dyDescent="0.3">
      <c r="A125" s="120"/>
      <c r="B125" s="113" t="s">
        <v>160</v>
      </c>
      <c r="C125" s="114"/>
      <c r="D125" s="115">
        <f>D48+D105</f>
        <v>3920514.4869999997</v>
      </c>
      <c r="E125" s="115">
        <f>E48+E105</f>
        <v>3811715.7829999994</v>
      </c>
      <c r="F125" s="115">
        <f t="shared" ref="F125:F141" si="95">SUM(G125:R125)</f>
        <v>3968049.392</v>
      </c>
      <c r="G125" s="115">
        <f t="shared" ref="G125:N125" si="96">G48+G105</f>
        <v>250348.01899999997</v>
      </c>
      <c r="H125" s="115">
        <f t="shared" si="96"/>
        <v>316324.92499999999</v>
      </c>
      <c r="I125" s="115">
        <f t="shared" si="96"/>
        <v>293871.63500000001</v>
      </c>
      <c r="J125" s="115">
        <f t="shared" si="96"/>
        <v>321819.16699999996</v>
      </c>
      <c r="K125" s="115">
        <f t="shared" si="96"/>
        <v>319289.49</v>
      </c>
      <c r="L125" s="115">
        <f t="shared" si="96"/>
        <v>314075.54199999996</v>
      </c>
      <c r="M125" s="115">
        <f t="shared" si="96"/>
        <v>331080.71700000006</v>
      </c>
      <c r="N125" s="115">
        <f t="shared" si="96"/>
        <v>328019.30800000002</v>
      </c>
      <c r="O125" s="115">
        <f t="shared" ref="O125:Q125" si="97">O48+O105</f>
        <v>307651.52699999994</v>
      </c>
      <c r="P125" s="115">
        <f t="shared" si="97"/>
        <v>387361.58800000016</v>
      </c>
      <c r="Q125" s="115">
        <f t="shared" si="97"/>
        <v>378440.12100000004</v>
      </c>
      <c r="R125" s="115">
        <f>R48+R105</f>
        <v>419767.353</v>
      </c>
      <c r="S125" s="116">
        <f t="shared" ref="S125:S141" si="98">F125-E125</f>
        <v>156333.60900000064</v>
      </c>
      <c r="T125" s="117">
        <f t="shared" ref="T125:T141" si="99">F125/E125*100</f>
        <v>104.10139732078763</v>
      </c>
      <c r="U125" s="115">
        <f>U48+U105</f>
        <v>3347456.5019999989</v>
      </c>
      <c r="V125" s="116">
        <f>F125-U125</f>
        <v>620592.89000000106</v>
      </c>
      <c r="W125" s="117">
        <f>F125/U125*100</f>
        <v>118.53923686922343</v>
      </c>
    </row>
    <row r="126" spans="1:25" s="118" customFormat="1" ht="10.5" hidden="1" customHeight="1" x14ac:dyDescent="0.3">
      <c r="A126" s="120"/>
      <c r="B126" s="121"/>
      <c r="C126" s="114"/>
      <c r="D126" s="115"/>
      <c r="E126" s="115"/>
      <c r="F126" s="115"/>
      <c r="G126" s="115"/>
      <c r="H126" s="115"/>
      <c r="I126" s="115"/>
      <c r="J126" s="115"/>
      <c r="K126" s="115"/>
      <c r="L126" s="115"/>
      <c r="M126" s="115"/>
      <c r="N126" s="115"/>
      <c r="O126" s="115"/>
      <c r="P126" s="115"/>
      <c r="Q126" s="115"/>
      <c r="R126" s="115"/>
      <c r="S126" s="116"/>
      <c r="T126" s="117"/>
      <c r="U126" s="115"/>
      <c r="V126" s="116"/>
      <c r="W126" s="117"/>
    </row>
    <row r="127" spans="1:25" s="118" customFormat="1" ht="46.5" hidden="1" x14ac:dyDescent="0.3">
      <c r="A127" s="120"/>
      <c r="B127" s="113" t="s">
        <v>158</v>
      </c>
      <c r="C127" s="114"/>
      <c r="D127" s="115">
        <f>D48+D107</f>
        <v>3850068.2889999994</v>
      </c>
      <c r="E127" s="115">
        <f>E48+E107</f>
        <v>3741269.584999999</v>
      </c>
      <c r="F127" s="115">
        <f t="shared" si="95"/>
        <v>3837482.7710000002</v>
      </c>
      <c r="G127" s="115">
        <f t="shared" ref="G127:N127" si="100">G48+G107</f>
        <v>246487.71399999995</v>
      </c>
      <c r="H127" s="115">
        <f t="shared" si="100"/>
        <v>307564.63</v>
      </c>
      <c r="I127" s="115">
        <f t="shared" si="100"/>
        <v>288022.85600000003</v>
      </c>
      <c r="J127" s="115">
        <f t="shared" si="100"/>
        <v>316127.71100000001</v>
      </c>
      <c r="K127" s="115">
        <f t="shared" si="100"/>
        <v>314079.65799999994</v>
      </c>
      <c r="L127" s="115">
        <f t="shared" si="100"/>
        <v>309593.13999999996</v>
      </c>
      <c r="M127" s="115">
        <f t="shared" si="100"/>
        <v>328244.78700000007</v>
      </c>
      <c r="N127" s="115">
        <f t="shared" si="100"/>
        <v>322892.03700000001</v>
      </c>
      <c r="O127" s="115">
        <f t="shared" ref="O127:Q127" si="101">O48+O107</f>
        <v>278126.73</v>
      </c>
      <c r="P127" s="115">
        <f t="shared" si="101"/>
        <v>379521.85200000019</v>
      </c>
      <c r="Q127" s="115">
        <f t="shared" si="101"/>
        <v>369515.44800000003</v>
      </c>
      <c r="R127" s="115">
        <f>R48+R107</f>
        <v>377306.20799999998</v>
      </c>
      <c r="S127" s="116">
        <f t="shared" si="98"/>
        <v>96213.186000001151</v>
      </c>
      <c r="T127" s="117">
        <f t="shared" si="99"/>
        <v>102.57167209724078</v>
      </c>
      <c r="U127" s="115">
        <f>U48+U107</f>
        <v>3258323.990999999</v>
      </c>
      <c r="V127" s="116">
        <f>F127-U127</f>
        <v>579158.78000000119</v>
      </c>
      <c r="W127" s="117">
        <f>F127/U127*100</f>
        <v>117.77474497931233</v>
      </c>
    </row>
    <row r="128" spans="1:25" s="23" customFormat="1" ht="22.5" hidden="1" x14ac:dyDescent="0.3">
      <c r="A128" s="170"/>
      <c r="B128" s="13"/>
      <c r="C128" s="18"/>
      <c r="D128" s="139"/>
      <c r="E128" s="139"/>
      <c r="F128" s="139"/>
      <c r="G128" s="139"/>
      <c r="H128" s="139"/>
      <c r="I128" s="139"/>
      <c r="J128" s="139"/>
      <c r="K128" s="139"/>
      <c r="L128" s="139"/>
      <c r="M128" s="139"/>
      <c r="N128" s="139"/>
      <c r="O128" s="139"/>
      <c r="P128" s="139"/>
      <c r="Q128" s="139"/>
      <c r="R128" s="139"/>
      <c r="S128" s="70"/>
      <c r="T128" s="71"/>
      <c r="U128" s="139"/>
      <c r="V128" s="70"/>
      <c r="W128" s="71"/>
    </row>
    <row r="129" spans="1:25" s="23" customFormat="1" ht="60.75" hidden="1" x14ac:dyDescent="0.3">
      <c r="A129" s="170"/>
      <c r="B129" s="171" t="s">
        <v>159</v>
      </c>
      <c r="C129" s="18"/>
      <c r="D129" s="163">
        <f>D127+D50+D51+D131</f>
        <v>4802153.1889999993</v>
      </c>
      <c r="E129" s="163">
        <f>E127+E50+E51+E131</f>
        <v>4693354.4849999994</v>
      </c>
      <c r="F129" s="163">
        <f t="shared" si="95"/>
        <v>4789567.6710000001</v>
      </c>
      <c r="G129" s="163">
        <f t="shared" ref="G129:N129" si="102">G127+G50+G51+G131</f>
        <v>310815.51399999997</v>
      </c>
      <c r="H129" s="163">
        <f t="shared" si="102"/>
        <v>379400.93</v>
      </c>
      <c r="I129" s="163">
        <f t="shared" si="102"/>
        <v>362027.15600000002</v>
      </c>
      <c r="J129" s="163">
        <f t="shared" si="102"/>
        <v>390854.61100000003</v>
      </c>
      <c r="K129" s="163">
        <f t="shared" si="102"/>
        <v>404704.95799999993</v>
      </c>
      <c r="L129" s="163">
        <f t="shared" si="102"/>
        <v>466478.24</v>
      </c>
      <c r="M129" s="163">
        <f t="shared" si="102"/>
        <v>372620.38700000005</v>
      </c>
      <c r="N129" s="163">
        <f t="shared" si="102"/>
        <v>370880.93700000003</v>
      </c>
      <c r="O129" s="163">
        <f t="shared" ref="O129:Q129" si="103">O127+O50+O51+O131</f>
        <v>357187.02999999997</v>
      </c>
      <c r="P129" s="163">
        <f t="shared" si="103"/>
        <v>459307.35200000019</v>
      </c>
      <c r="Q129" s="163">
        <f t="shared" si="103"/>
        <v>451471.44800000003</v>
      </c>
      <c r="R129" s="163">
        <f>R127+R50+R51+R131</f>
        <v>463819.10800000001</v>
      </c>
      <c r="S129" s="122">
        <f t="shared" si="98"/>
        <v>96213.186000000685</v>
      </c>
      <c r="T129" s="123">
        <f t="shared" si="99"/>
        <v>102.04998762201957</v>
      </c>
      <c r="U129" s="163">
        <f>U127+U50+U51+U131</f>
        <v>3763918.9869999993</v>
      </c>
      <c r="V129" s="122">
        <f>F129-U129</f>
        <v>1025648.6840000008</v>
      </c>
      <c r="W129" s="123">
        <f>F129/U129*100</f>
        <v>127.24948883178502</v>
      </c>
      <c r="X129" s="45"/>
    </row>
    <row r="130" spans="1:25" s="23" customFormat="1" ht="22.5" hidden="1" x14ac:dyDescent="0.3">
      <c r="A130" s="170"/>
      <c r="B130" s="13"/>
      <c r="C130" s="18"/>
      <c r="D130" s="139"/>
      <c r="E130" s="139"/>
      <c r="F130" s="139"/>
      <c r="G130" s="139"/>
      <c r="H130" s="139"/>
      <c r="I130" s="139"/>
      <c r="J130" s="139"/>
      <c r="K130" s="139"/>
      <c r="L130" s="139"/>
      <c r="M130" s="139"/>
      <c r="N130" s="139"/>
      <c r="O130" s="139"/>
      <c r="P130" s="139"/>
      <c r="Q130" s="139"/>
      <c r="R130" s="139"/>
      <c r="S130" s="70"/>
      <c r="T130" s="71"/>
      <c r="U130" s="139"/>
      <c r="V130" s="70"/>
      <c r="W130" s="71"/>
    </row>
    <row r="131" spans="1:25" s="23" customFormat="1" ht="30" hidden="1" customHeight="1" x14ac:dyDescent="0.3">
      <c r="A131" s="170"/>
      <c r="B131" s="171" t="s">
        <v>70</v>
      </c>
      <c r="C131" s="18"/>
      <c r="D131" s="163">
        <v>234281.5</v>
      </c>
      <c r="E131" s="163">
        <v>234281.5</v>
      </c>
      <c r="F131" s="163">
        <f t="shared" si="95"/>
        <v>234281.5</v>
      </c>
      <c r="G131" s="163">
        <v>19523.5</v>
      </c>
      <c r="H131" s="163">
        <v>19523.5</v>
      </c>
      <c r="I131" s="163">
        <v>19523.5</v>
      </c>
      <c r="J131" s="163">
        <v>19523.5</v>
      </c>
      <c r="K131" s="163">
        <v>19523.5</v>
      </c>
      <c r="L131" s="163">
        <v>19523.5</v>
      </c>
      <c r="M131" s="163">
        <v>19523.5</v>
      </c>
      <c r="N131" s="163">
        <v>19523.5</v>
      </c>
      <c r="O131" s="163">
        <v>19523.5</v>
      </c>
      <c r="P131" s="163">
        <v>19523.5</v>
      </c>
      <c r="Q131" s="163">
        <v>19523.5</v>
      </c>
      <c r="R131" s="163">
        <v>19523</v>
      </c>
      <c r="S131" s="122">
        <f t="shared" si="98"/>
        <v>0</v>
      </c>
      <c r="T131" s="123">
        <f t="shared" si="99"/>
        <v>100</v>
      </c>
      <c r="U131" s="163">
        <v>-136212.29999999999</v>
      </c>
      <c r="V131" s="122">
        <f>F131-U131</f>
        <v>370493.8</v>
      </c>
      <c r="W131" s="123">
        <f>F131/U131*100</f>
        <v>-171.99731595457973</v>
      </c>
    </row>
    <row r="132" spans="1:25" s="23" customFormat="1" ht="22.5" x14ac:dyDescent="0.3">
      <c r="A132" s="9"/>
      <c r="B132" s="13"/>
      <c r="C132" s="18"/>
      <c r="D132" s="139"/>
      <c r="E132" s="139"/>
      <c r="F132" s="139"/>
      <c r="G132" s="139"/>
      <c r="H132" s="139"/>
      <c r="I132" s="139"/>
      <c r="J132" s="139"/>
      <c r="K132" s="139"/>
      <c r="L132" s="139"/>
      <c r="M132" s="139"/>
      <c r="N132" s="139"/>
      <c r="O132" s="139"/>
      <c r="P132" s="139"/>
      <c r="Q132" s="139"/>
      <c r="R132" s="139"/>
      <c r="S132" s="70"/>
      <c r="T132" s="71"/>
      <c r="U132" s="139"/>
      <c r="V132" s="70"/>
      <c r="W132" s="71"/>
    </row>
    <row r="133" spans="1:25" s="41" customFormat="1" ht="22.5" x14ac:dyDescent="0.3">
      <c r="A133" s="38"/>
      <c r="B133" s="42" t="s">
        <v>28</v>
      </c>
      <c r="C133" s="40"/>
      <c r="D133" s="139">
        <f>D82+D117</f>
        <v>864542.80200000003</v>
      </c>
      <c r="E133" s="139">
        <f>E82+E117</f>
        <v>1045123.9750600001</v>
      </c>
      <c r="F133" s="139">
        <f>SUM(G133:R133)</f>
        <v>941544.63899999997</v>
      </c>
      <c r="G133" s="139">
        <f t="shared" ref="G133:R133" si="104">G82+G117</f>
        <v>46907.102000000006</v>
      </c>
      <c r="H133" s="139">
        <f t="shared" si="104"/>
        <v>54592.909</v>
      </c>
      <c r="I133" s="139">
        <f t="shared" si="104"/>
        <v>58734.604000000007</v>
      </c>
      <c r="J133" s="139">
        <f t="shared" si="104"/>
        <v>57797.366999999998</v>
      </c>
      <c r="K133" s="139">
        <f t="shared" ref="K133:Q133" si="105">K82+K117</f>
        <v>81686.313000000009</v>
      </c>
      <c r="L133" s="139">
        <f t="shared" si="105"/>
        <v>145334.226</v>
      </c>
      <c r="M133" s="139">
        <f t="shared" si="105"/>
        <v>28903.632999999998</v>
      </c>
      <c r="N133" s="139">
        <f t="shared" si="105"/>
        <v>53965.144</v>
      </c>
      <c r="O133" s="139">
        <f t="shared" si="105"/>
        <v>95230.942999999999</v>
      </c>
      <c r="P133" s="139">
        <f t="shared" si="105"/>
        <v>65797.447999999989</v>
      </c>
      <c r="Q133" s="139">
        <f t="shared" si="105"/>
        <v>81613.925000000017</v>
      </c>
      <c r="R133" s="139">
        <f t="shared" si="104"/>
        <v>170981.02499999999</v>
      </c>
      <c r="S133" s="70">
        <f t="shared" si="98"/>
        <v>-103579.33606000012</v>
      </c>
      <c r="T133" s="71">
        <f t="shared" si="99"/>
        <v>90.089277585077525</v>
      </c>
      <c r="U133" s="139">
        <f>U82+U117</f>
        <v>950812.68900000001</v>
      </c>
      <c r="V133" s="70">
        <f>F133-U133</f>
        <v>-9268.0500000000466</v>
      </c>
      <c r="W133" s="71">
        <f>F133/U133*100</f>
        <v>99.02524965145895</v>
      </c>
    </row>
    <row r="134" spans="1:25" s="191" customFormat="1" ht="23.25" hidden="1" x14ac:dyDescent="0.35">
      <c r="A134" s="186"/>
      <c r="B134" s="187" t="s">
        <v>120</v>
      </c>
      <c r="C134" s="154"/>
      <c r="D134" s="188">
        <v>0</v>
      </c>
      <c r="E134" s="188">
        <v>0</v>
      </c>
      <c r="F134" s="188">
        <f>SUM(G134:R134)</f>
        <v>0</v>
      </c>
      <c r="G134" s="188">
        <v>0</v>
      </c>
      <c r="H134" s="188">
        <v>0</v>
      </c>
      <c r="I134" s="188">
        <v>0</v>
      </c>
      <c r="J134" s="188">
        <v>0</v>
      </c>
      <c r="K134" s="188">
        <v>0</v>
      </c>
      <c r="L134" s="188">
        <v>0</v>
      </c>
      <c r="M134" s="188">
        <v>0</v>
      </c>
      <c r="N134" s="188">
        <v>0</v>
      </c>
      <c r="O134" s="188">
        <v>0</v>
      </c>
      <c r="P134" s="188">
        <v>0</v>
      </c>
      <c r="Q134" s="188">
        <v>0</v>
      </c>
      <c r="R134" s="188">
        <v>0</v>
      </c>
      <c r="S134" s="70">
        <f t="shared" si="98"/>
        <v>0</v>
      </c>
      <c r="T134" s="190"/>
      <c r="U134" s="188">
        <f>U84</f>
        <v>13955.199999999999</v>
      </c>
      <c r="V134" s="70">
        <f>F134-U134</f>
        <v>-13955.199999999999</v>
      </c>
      <c r="W134" s="190"/>
    </row>
    <row r="135" spans="1:25" s="191" customFormat="1" ht="30.75" hidden="1" customHeight="1" x14ac:dyDescent="0.35">
      <c r="A135" s="192"/>
      <c r="B135" s="187" t="s">
        <v>74</v>
      </c>
      <c r="C135" s="154"/>
      <c r="D135" s="188">
        <f t="shared" ref="D135:E135" si="106">D136+D137</f>
        <v>864542.80200000003</v>
      </c>
      <c r="E135" s="188">
        <f t="shared" si="106"/>
        <v>1045123.9750600001</v>
      </c>
      <c r="F135" s="188">
        <f t="shared" si="95"/>
        <v>941544.63899999997</v>
      </c>
      <c r="G135" s="188">
        <f t="shared" ref="G135" si="107">G136+G137</f>
        <v>46907.102000000006</v>
      </c>
      <c r="H135" s="188">
        <f t="shared" ref="H135" si="108">H136+H137</f>
        <v>54592.909</v>
      </c>
      <c r="I135" s="188">
        <f t="shared" ref="I135:R135" si="109">I136+I137</f>
        <v>58734.604000000007</v>
      </c>
      <c r="J135" s="188">
        <f t="shared" ref="J135:Q135" si="110">J136+J137</f>
        <v>57797.366999999998</v>
      </c>
      <c r="K135" s="188">
        <f t="shared" si="110"/>
        <v>81686.313000000009</v>
      </c>
      <c r="L135" s="188">
        <f t="shared" si="110"/>
        <v>145334.226</v>
      </c>
      <c r="M135" s="188">
        <f t="shared" si="110"/>
        <v>28903.632999999998</v>
      </c>
      <c r="N135" s="188">
        <f t="shared" si="110"/>
        <v>53965.144</v>
      </c>
      <c r="O135" s="188">
        <f t="shared" si="110"/>
        <v>95230.942999999999</v>
      </c>
      <c r="P135" s="188">
        <f t="shared" si="110"/>
        <v>65797.448000000004</v>
      </c>
      <c r="Q135" s="188">
        <f t="shared" si="110"/>
        <v>81613.925000000003</v>
      </c>
      <c r="R135" s="188">
        <f t="shared" si="109"/>
        <v>170981.02499999999</v>
      </c>
      <c r="S135" s="189">
        <f t="shared" si="98"/>
        <v>-103579.33606000012</v>
      </c>
      <c r="T135" s="190">
        <f t="shared" si="99"/>
        <v>90.089277585077525</v>
      </c>
      <c r="U135" s="188">
        <f t="shared" ref="U135" si="111">U136+U137</f>
        <v>936857.48899999994</v>
      </c>
      <c r="V135" s="189">
        <f>F135-U135</f>
        <v>4687.1500000000233</v>
      </c>
      <c r="W135" s="190">
        <f>F135/U135*100</f>
        <v>100.50030554860624</v>
      </c>
    </row>
    <row r="136" spans="1:25" s="126" customFormat="1" ht="33" hidden="1" customHeight="1" x14ac:dyDescent="0.35">
      <c r="A136" s="124"/>
      <c r="B136" s="125" t="s">
        <v>109</v>
      </c>
      <c r="C136" s="125"/>
      <c r="D136" s="153">
        <f>D86+D118</f>
        <v>838223.4</v>
      </c>
      <c r="E136" s="153">
        <f>E86+E118</f>
        <v>856352.20000000007</v>
      </c>
      <c r="F136" s="153">
        <f t="shared" si="95"/>
        <v>753924.09199999995</v>
      </c>
      <c r="G136" s="153">
        <f t="shared" ref="G136:R136" si="112">G86+G118</f>
        <v>44804.3</v>
      </c>
      <c r="H136" s="153">
        <f t="shared" si="112"/>
        <v>52312.800000000003</v>
      </c>
      <c r="I136" s="153">
        <f t="shared" si="112"/>
        <v>56011.100000000006</v>
      </c>
      <c r="J136" s="153">
        <f t="shared" si="112"/>
        <v>55203.4</v>
      </c>
      <c r="K136" s="153">
        <f t="shared" ref="K136:Q136" si="113">K86+K118</f>
        <v>76945.8</v>
      </c>
      <c r="L136" s="153">
        <f t="shared" si="113"/>
        <v>139119.6</v>
      </c>
      <c r="M136" s="153">
        <f t="shared" si="113"/>
        <v>26610.1</v>
      </c>
      <c r="N136" s="153">
        <f t="shared" si="113"/>
        <v>30223.4</v>
      </c>
      <c r="O136" s="153">
        <f t="shared" si="113"/>
        <v>63712.3</v>
      </c>
      <c r="P136" s="153">
        <f t="shared" si="113"/>
        <v>60575.199999999997</v>
      </c>
      <c r="Q136" s="153">
        <f t="shared" si="113"/>
        <v>65872.100000000006</v>
      </c>
      <c r="R136" s="153">
        <f t="shared" si="112"/>
        <v>82533.991999999984</v>
      </c>
      <c r="S136" s="93">
        <f t="shared" si="98"/>
        <v>-102428.10800000012</v>
      </c>
      <c r="T136" s="151">
        <f t="shared" si="99"/>
        <v>88.039020860809359</v>
      </c>
      <c r="U136" s="153">
        <f>U86+U118</f>
        <v>833771.94299999997</v>
      </c>
      <c r="V136" s="93">
        <f>F136-U136</f>
        <v>-79847.851000000024</v>
      </c>
      <c r="W136" s="151">
        <f>F136/U136*100</f>
        <v>90.423298400675492</v>
      </c>
    </row>
    <row r="137" spans="1:25" s="126" customFormat="1" ht="33" hidden="1" customHeight="1" x14ac:dyDescent="0.35">
      <c r="A137" s="124"/>
      <c r="B137" s="125" t="s">
        <v>108</v>
      </c>
      <c r="C137" s="125"/>
      <c r="D137" s="153">
        <f>D119+D87</f>
        <v>26319.402000000002</v>
      </c>
      <c r="E137" s="153">
        <f>E119+E87</f>
        <v>188771.77506000001</v>
      </c>
      <c r="F137" s="153">
        <f t="shared" si="95"/>
        <v>187620.54699999999</v>
      </c>
      <c r="G137" s="153">
        <f t="shared" ref="G137:R137" si="114">G119+G87</f>
        <v>2102.8020000000001</v>
      </c>
      <c r="H137" s="153">
        <f t="shared" si="114"/>
        <v>2280.1089999999999</v>
      </c>
      <c r="I137" s="153">
        <f t="shared" si="114"/>
        <v>2723.5039999999999</v>
      </c>
      <c r="J137" s="153">
        <f t="shared" si="114"/>
        <v>2593.9670000000001</v>
      </c>
      <c r="K137" s="153">
        <f t="shared" ref="K137:Q137" si="115">K119+K87</f>
        <v>4740.5129999999999</v>
      </c>
      <c r="L137" s="153">
        <f t="shared" si="115"/>
        <v>6214.6260000000002</v>
      </c>
      <c r="M137" s="153">
        <f t="shared" si="115"/>
        <v>2293.5329999999999</v>
      </c>
      <c r="N137" s="153">
        <f t="shared" si="115"/>
        <v>23741.743999999999</v>
      </c>
      <c r="O137" s="153">
        <f t="shared" si="115"/>
        <v>31518.643</v>
      </c>
      <c r="P137" s="153">
        <f t="shared" si="115"/>
        <v>5222.2479999999996</v>
      </c>
      <c r="Q137" s="153">
        <f t="shared" si="115"/>
        <v>15741.825000000001</v>
      </c>
      <c r="R137" s="153">
        <f t="shared" si="114"/>
        <v>88447.03300000001</v>
      </c>
      <c r="S137" s="93">
        <f t="shared" si="98"/>
        <v>-1151.2280600000231</v>
      </c>
      <c r="T137" s="151">
        <f t="shared" si="99"/>
        <v>99.390148204288437</v>
      </c>
      <c r="U137" s="153">
        <f>U119+U87</f>
        <v>103085.54600000002</v>
      </c>
      <c r="V137" s="93">
        <f>F137-U137</f>
        <v>84535.000999999975</v>
      </c>
      <c r="W137" s="151">
        <f>F137/U137*100</f>
        <v>182.00470801212029</v>
      </c>
    </row>
    <row r="138" spans="1:25" s="5" customFormat="1" ht="23.25" x14ac:dyDescent="0.25">
      <c r="A138" s="19"/>
      <c r="B138" s="33"/>
      <c r="C138" s="14"/>
      <c r="D138" s="153"/>
      <c r="E138" s="153"/>
      <c r="F138" s="153"/>
      <c r="G138" s="153"/>
      <c r="H138" s="153"/>
      <c r="I138" s="153"/>
      <c r="J138" s="153"/>
      <c r="K138" s="153"/>
      <c r="L138" s="153"/>
      <c r="M138" s="153"/>
      <c r="N138" s="153"/>
      <c r="O138" s="153"/>
      <c r="P138" s="153"/>
      <c r="Q138" s="153"/>
      <c r="R138" s="153"/>
      <c r="S138" s="93"/>
      <c r="T138" s="151"/>
      <c r="U138" s="153"/>
      <c r="V138" s="93"/>
      <c r="W138" s="151"/>
    </row>
    <row r="139" spans="1:25" s="110" customFormat="1" ht="46.5" x14ac:dyDescent="0.3">
      <c r="A139" s="119"/>
      <c r="B139" s="104" t="s">
        <v>150</v>
      </c>
      <c r="C139" s="111"/>
      <c r="D139" s="106">
        <f>D125+D133</f>
        <v>4785057.2889999999</v>
      </c>
      <c r="E139" s="106">
        <f>E125+E133</f>
        <v>4856839.758059999</v>
      </c>
      <c r="F139" s="106">
        <f t="shared" si="95"/>
        <v>4909594.0309999995</v>
      </c>
      <c r="G139" s="106">
        <f t="shared" ref="G139:R139" si="116">G125+G133</f>
        <v>297255.12099999998</v>
      </c>
      <c r="H139" s="106">
        <f t="shared" si="116"/>
        <v>370917.83399999997</v>
      </c>
      <c r="I139" s="106">
        <f t="shared" si="116"/>
        <v>352606.239</v>
      </c>
      <c r="J139" s="106">
        <f t="shared" si="116"/>
        <v>379616.53399999999</v>
      </c>
      <c r="K139" s="106">
        <f t="shared" ref="K139:Q139" si="117">K125+K133</f>
        <v>400975.80300000001</v>
      </c>
      <c r="L139" s="106">
        <f t="shared" si="117"/>
        <v>459409.76799999992</v>
      </c>
      <c r="M139" s="106">
        <f t="shared" si="117"/>
        <v>359984.35000000003</v>
      </c>
      <c r="N139" s="106">
        <f t="shared" si="117"/>
        <v>381984.45200000005</v>
      </c>
      <c r="O139" s="106">
        <f t="shared" si="117"/>
        <v>402882.47</v>
      </c>
      <c r="P139" s="106">
        <f t="shared" si="117"/>
        <v>453159.03600000014</v>
      </c>
      <c r="Q139" s="106">
        <f t="shared" si="117"/>
        <v>460054.04600000009</v>
      </c>
      <c r="R139" s="106">
        <f t="shared" si="116"/>
        <v>590748.37800000003</v>
      </c>
      <c r="S139" s="107">
        <f t="shared" si="98"/>
        <v>52754.272940000519</v>
      </c>
      <c r="T139" s="108">
        <f t="shared" si="99"/>
        <v>101.08618516500269</v>
      </c>
      <c r="U139" s="106">
        <f>U121+U89</f>
        <v>4298269.1909999987</v>
      </c>
      <c r="V139" s="107">
        <f>F139-U139</f>
        <v>611324.84000000078</v>
      </c>
      <c r="W139" s="108">
        <f>F139/U139*100</f>
        <v>114.22258152839831</v>
      </c>
      <c r="X139" s="106">
        <v>4298269.1909999996</v>
      </c>
      <c r="Y139" s="106">
        <f>X139-U139</f>
        <v>0</v>
      </c>
    </row>
    <row r="140" spans="1:25" s="41" customFormat="1" ht="22.5" hidden="1" x14ac:dyDescent="0.3">
      <c r="A140" s="43"/>
      <c r="B140" s="39"/>
      <c r="C140" s="40"/>
      <c r="D140" s="178"/>
      <c r="E140" s="178"/>
      <c r="F140" s="178"/>
      <c r="G140" s="178"/>
      <c r="H140" s="178"/>
      <c r="I140" s="178"/>
      <c r="J140" s="178"/>
      <c r="K140" s="178"/>
      <c r="L140" s="178"/>
      <c r="M140" s="178"/>
      <c r="N140" s="178"/>
      <c r="O140" s="178"/>
      <c r="P140" s="178"/>
      <c r="Q140" s="178"/>
      <c r="R140" s="178"/>
      <c r="S140" s="70"/>
      <c r="T140" s="71"/>
      <c r="U140" s="178"/>
      <c r="V140" s="70"/>
      <c r="W140" s="71"/>
    </row>
    <row r="141" spans="1:25" s="41" customFormat="1" ht="43.5" hidden="1" x14ac:dyDescent="0.3">
      <c r="A141" s="43"/>
      <c r="B141" s="91" t="s">
        <v>75</v>
      </c>
      <c r="C141" s="40"/>
      <c r="D141" s="139">
        <f>D89+D123</f>
        <v>4714611.091</v>
      </c>
      <c r="E141" s="139">
        <f t="shared" si="65"/>
        <v>4714611.091</v>
      </c>
      <c r="F141" s="139">
        <f t="shared" si="95"/>
        <v>4779027.41</v>
      </c>
      <c r="G141" s="139">
        <f>G89+G123</f>
        <v>293394.81599999999</v>
      </c>
      <c r="H141" s="139">
        <f>H89+H123</f>
        <v>362157.53899999999</v>
      </c>
      <c r="I141" s="139">
        <f>I89+I123</f>
        <v>346757.46</v>
      </c>
      <c r="J141" s="139">
        <f>J89+J123</f>
        <v>373925.07799999998</v>
      </c>
      <c r="K141" s="139">
        <f t="shared" ref="K141" si="118">K89+K123</f>
        <v>395765.97099999996</v>
      </c>
      <c r="L141" s="139">
        <f t="shared" ref="L141:R141" si="119">L89+L123</f>
        <v>454927.36599999998</v>
      </c>
      <c r="M141" s="139">
        <f t="shared" si="119"/>
        <v>357148.42000000004</v>
      </c>
      <c r="N141" s="139">
        <f t="shared" si="119"/>
        <v>376857.18100000004</v>
      </c>
      <c r="O141" s="139">
        <f t="shared" si="119"/>
        <v>373357.67299999995</v>
      </c>
      <c r="P141" s="139">
        <f t="shared" ref="P141:Q141" si="120">P89+P123</f>
        <v>445319.30000000016</v>
      </c>
      <c r="Q141" s="139">
        <f t="shared" si="120"/>
        <v>451129.37300000008</v>
      </c>
      <c r="R141" s="139">
        <f t="shared" si="119"/>
        <v>548287.23300000001</v>
      </c>
      <c r="S141" s="70">
        <f t="shared" si="98"/>
        <v>64416.319000000134</v>
      </c>
      <c r="T141" s="71">
        <f t="shared" si="99"/>
        <v>101.36631246473262</v>
      </c>
      <c r="U141" s="139">
        <f>U89+U123</f>
        <v>4209136.6799999988</v>
      </c>
      <c r="V141" s="70">
        <f>F141-U141</f>
        <v>569890.73000000138</v>
      </c>
      <c r="W141" s="71">
        <f>F141/U141*100</f>
        <v>113.53937335197206</v>
      </c>
    </row>
    <row r="142" spans="1:25" s="12" customFormat="1" ht="5.25" hidden="1" customHeight="1" x14ac:dyDescent="0.3">
      <c r="A142" s="27"/>
      <c r="B142" s="28"/>
      <c r="C142" s="29"/>
      <c r="D142" s="29"/>
      <c r="E142" s="164"/>
      <c r="F142" s="164"/>
      <c r="G142" s="164"/>
      <c r="H142" s="164"/>
      <c r="I142" s="164"/>
      <c r="J142" s="164"/>
      <c r="K142" s="164"/>
      <c r="L142" s="164"/>
      <c r="M142" s="164"/>
      <c r="N142" s="164"/>
      <c r="O142" s="164"/>
      <c r="P142" s="164"/>
      <c r="Q142" s="164"/>
      <c r="R142" s="164"/>
      <c r="S142" s="73"/>
      <c r="T142" s="74"/>
      <c r="U142" s="164"/>
      <c r="V142" s="73"/>
      <c r="W142" s="74"/>
    </row>
    <row r="143" spans="1:25" s="12" customFormat="1" ht="24.75" hidden="1" customHeight="1" x14ac:dyDescent="0.4">
      <c r="A143" s="27"/>
      <c r="B143" s="137" t="s">
        <v>96</v>
      </c>
      <c r="C143" s="137"/>
      <c r="D143" s="137"/>
      <c r="E143" s="137"/>
      <c r="F143" s="137" t="s">
        <v>97</v>
      </c>
      <c r="G143" s="137"/>
      <c r="H143" s="137"/>
      <c r="I143" s="137"/>
      <c r="J143" s="137"/>
      <c r="K143" s="137"/>
      <c r="L143" s="137"/>
      <c r="M143" s="137"/>
      <c r="N143" s="137"/>
      <c r="O143" s="137"/>
      <c r="P143" s="137"/>
      <c r="Q143" s="137"/>
      <c r="R143" s="137"/>
      <c r="S143" s="73"/>
      <c r="T143" s="74"/>
      <c r="U143" s="137"/>
      <c r="V143" s="73"/>
      <c r="W143" s="74"/>
    </row>
    <row r="144" spans="1:25" s="5" customFormat="1" ht="18" hidden="1" customHeight="1" x14ac:dyDescent="0.45">
      <c r="A144" s="4"/>
      <c r="B144" s="22" t="s">
        <v>50</v>
      </c>
      <c r="C144" s="15"/>
      <c r="D144" s="15"/>
      <c r="E144" s="15"/>
      <c r="F144" s="165"/>
      <c r="G144" s="165"/>
      <c r="H144" s="165"/>
      <c r="I144" s="165"/>
      <c r="J144" s="165"/>
      <c r="K144" s="165"/>
      <c r="L144" s="165"/>
      <c r="M144" s="165"/>
      <c r="N144" s="165"/>
      <c r="O144" s="165"/>
      <c r="P144" s="165"/>
      <c r="Q144" s="165"/>
      <c r="R144" s="165"/>
      <c r="S144" s="75"/>
      <c r="T144" s="76"/>
      <c r="U144" s="165"/>
      <c r="V144" s="75"/>
      <c r="W144" s="76"/>
    </row>
    <row r="145" spans="1:48" s="5" customFormat="1" ht="30.75" hidden="1" x14ac:dyDescent="0.45">
      <c r="A145" s="4"/>
      <c r="B145" s="15"/>
      <c r="C145" s="15"/>
      <c r="D145" s="15"/>
      <c r="E145" s="97"/>
      <c r="F145" s="165"/>
      <c r="G145" s="165"/>
      <c r="H145" s="165"/>
      <c r="I145" s="165"/>
      <c r="J145" s="165"/>
      <c r="K145" s="165"/>
      <c r="L145" s="165"/>
      <c r="M145" s="165"/>
      <c r="N145" s="165"/>
      <c r="O145" s="165"/>
      <c r="P145" s="165"/>
      <c r="Q145" s="165"/>
      <c r="R145" s="165"/>
      <c r="S145" s="75"/>
      <c r="T145" s="76"/>
      <c r="U145" s="165"/>
      <c r="V145" s="75"/>
      <c r="W145" s="76"/>
    </row>
    <row r="146" spans="1:48" s="2" customFormat="1" ht="30.75" hidden="1" x14ac:dyDescent="0.45">
      <c r="A146" s="20"/>
      <c r="B146" s="15"/>
      <c r="C146" s="15"/>
      <c r="D146" s="146">
        <v>4785057.2889999999</v>
      </c>
      <c r="E146" s="146">
        <v>4856839.7580000004</v>
      </c>
      <c r="F146" s="146">
        <v>4909594.0310000004</v>
      </c>
      <c r="G146" s="146">
        <v>297255.12099999998</v>
      </c>
      <c r="H146" s="146">
        <v>370917.83299999998</v>
      </c>
      <c r="I146" s="146">
        <v>352606.24</v>
      </c>
      <c r="J146" s="146">
        <v>379616.53399999999</v>
      </c>
      <c r="K146" s="146">
        <v>400975.80300000001</v>
      </c>
      <c r="L146" s="146">
        <v>459409.76799999998</v>
      </c>
      <c r="M146" s="146">
        <v>359984.35</v>
      </c>
      <c r="N146" s="146">
        <v>381984.45199999999</v>
      </c>
      <c r="O146" s="146">
        <v>402882.47</v>
      </c>
      <c r="P146" s="146"/>
      <c r="Q146" s="146">
        <v>460054.04599999997</v>
      </c>
      <c r="R146" s="146">
        <v>590748.37699999998</v>
      </c>
      <c r="S146" s="3"/>
      <c r="T146" s="3"/>
      <c r="U146" s="146"/>
      <c r="V146" s="3"/>
    </row>
    <row r="147" spans="1:48" ht="30.75" hidden="1" x14ac:dyDescent="0.45">
      <c r="B147" s="22"/>
      <c r="C147" s="165"/>
      <c r="D147" s="165"/>
      <c r="E147" s="165"/>
      <c r="F147" s="165"/>
      <c r="U147" s="165"/>
    </row>
    <row r="148" spans="1:48" s="166" customFormat="1" ht="30.75" hidden="1" x14ac:dyDescent="0.45">
      <c r="A148" s="21"/>
      <c r="B148" s="15"/>
      <c r="C148" s="15"/>
      <c r="D148" s="97"/>
      <c r="E148" s="15"/>
      <c r="F148" s="165"/>
      <c r="S148" s="169"/>
      <c r="T148" s="169"/>
      <c r="U148" s="165"/>
      <c r="V148" s="169"/>
    </row>
    <row r="149" spans="1:48" s="166" customFormat="1" ht="30.75" hidden="1" x14ac:dyDescent="0.45">
      <c r="A149" s="21"/>
      <c r="B149" s="15"/>
      <c r="C149" s="15"/>
      <c r="D149" s="15"/>
      <c r="E149" s="15"/>
      <c r="F149" s="165"/>
      <c r="S149" s="169"/>
      <c r="T149" s="169"/>
      <c r="U149" s="165"/>
      <c r="V149" s="169"/>
    </row>
    <row r="150" spans="1:48" s="166" customFormat="1" ht="30.75" hidden="1" x14ac:dyDescent="0.45">
      <c r="A150" s="21"/>
      <c r="B150" s="22"/>
      <c r="C150" s="165"/>
      <c r="D150" s="165"/>
      <c r="E150" s="165"/>
      <c r="F150" s="165"/>
      <c r="S150" s="169"/>
      <c r="T150" s="169"/>
      <c r="U150" s="165"/>
      <c r="V150" s="169"/>
    </row>
    <row r="151" spans="1:48" ht="18.75" hidden="1" x14ac:dyDescent="0.3">
      <c r="B151" s="20"/>
      <c r="D151" s="146">
        <f>D146-D139</f>
        <v>0</v>
      </c>
      <c r="E151" s="146">
        <f t="shared" ref="E151:H151" si="121">E146-E139</f>
        <v>-5.9998594224452972E-5</v>
      </c>
      <c r="F151" s="146">
        <f>F146-F139</f>
        <v>0</v>
      </c>
      <c r="G151" s="146">
        <f t="shared" si="121"/>
        <v>0</v>
      </c>
      <c r="H151" s="146">
        <f t="shared" si="121"/>
        <v>-9.9999998928979039E-4</v>
      </c>
      <c r="I151" s="146">
        <f t="shared" ref="I151:O151" si="122">I146-I139</f>
        <v>9.9999998928979039E-4</v>
      </c>
      <c r="J151" s="146">
        <f t="shared" si="122"/>
        <v>0</v>
      </c>
      <c r="K151" s="146">
        <f t="shared" si="122"/>
        <v>0</v>
      </c>
      <c r="L151" s="146">
        <f t="shared" si="122"/>
        <v>0</v>
      </c>
      <c r="M151" s="146">
        <f t="shared" si="122"/>
        <v>0</v>
      </c>
      <c r="N151" s="146">
        <f t="shared" si="122"/>
        <v>0</v>
      </c>
      <c r="O151" s="146">
        <f t="shared" si="122"/>
        <v>0</v>
      </c>
      <c r="P151" s="146"/>
      <c r="Q151" s="146">
        <f>Q146-Q139</f>
        <v>0</v>
      </c>
      <c r="R151" s="146">
        <f>R146-R139</f>
        <v>-1.0000000474974513E-3</v>
      </c>
      <c r="S151" s="193" t="s">
        <v>47</v>
      </c>
      <c r="U151" s="146"/>
    </row>
    <row r="152" spans="1:48" ht="18.75" hidden="1" x14ac:dyDescent="0.3">
      <c r="B152" s="20"/>
      <c r="S152" s="169"/>
    </row>
    <row r="153" spans="1:48" ht="18.75" hidden="1" customHeight="1" x14ac:dyDescent="0.3">
      <c r="B153" s="2"/>
      <c r="C153" s="161"/>
      <c r="D153" s="161"/>
      <c r="E153" s="90"/>
      <c r="F153" s="90"/>
      <c r="S153" s="193" t="s">
        <v>48</v>
      </c>
      <c r="U153" s="90"/>
    </row>
    <row r="154" spans="1:48" ht="18.75" hidden="1" x14ac:dyDescent="0.3">
      <c r="B154" s="2"/>
      <c r="C154" s="161"/>
      <c r="D154" s="161"/>
      <c r="E154" s="90"/>
      <c r="F154" s="90"/>
      <c r="S154" s="169"/>
    </row>
    <row r="155" spans="1:48" ht="22.5" hidden="1" x14ac:dyDescent="0.3">
      <c r="B155" s="2"/>
      <c r="C155" s="161"/>
      <c r="D155" s="161"/>
      <c r="E155" s="98"/>
      <c r="F155" s="98"/>
      <c r="S155" s="193" t="s">
        <v>49</v>
      </c>
      <c r="U155" s="98"/>
    </row>
    <row r="156" spans="1:48" ht="18.75" hidden="1" x14ac:dyDescent="0.3">
      <c r="B156" s="2"/>
      <c r="C156" s="161"/>
      <c r="D156" s="161"/>
      <c r="E156" s="161"/>
      <c r="S156" s="169"/>
    </row>
    <row r="157" spans="1:48" ht="18.75" hidden="1" x14ac:dyDescent="0.3">
      <c r="B157" s="2"/>
      <c r="C157" s="161"/>
      <c r="D157" s="161"/>
      <c r="E157" s="161"/>
    </row>
    <row r="158" spans="1:48" ht="18.75" x14ac:dyDescent="0.3">
      <c r="B158" s="99"/>
      <c r="C158" s="161"/>
      <c r="D158" s="161"/>
      <c r="E158" s="161"/>
    </row>
    <row r="159" spans="1:48" ht="18.75" x14ac:dyDescent="0.3">
      <c r="B159" s="2"/>
      <c r="C159" s="161"/>
      <c r="D159" s="161"/>
      <c r="E159" s="161"/>
    </row>
    <row r="160" spans="1:48" s="16" customFormat="1" ht="43.5" customHeight="1" x14ac:dyDescent="0.3">
      <c r="B160" s="2"/>
      <c r="C160" s="161"/>
      <c r="D160" s="161"/>
      <c r="E160" s="161"/>
      <c r="F160" s="161"/>
      <c r="G160" s="161"/>
      <c r="H160" s="161"/>
      <c r="I160" s="161"/>
      <c r="J160" s="161"/>
      <c r="K160" s="161"/>
      <c r="L160" s="161"/>
      <c r="M160" s="161"/>
      <c r="N160" s="161"/>
      <c r="O160" s="161"/>
      <c r="P160" s="161"/>
      <c r="Q160" s="161"/>
      <c r="R160" s="161"/>
      <c r="S160" s="1"/>
      <c r="T160" s="1"/>
      <c r="U160" s="161"/>
      <c r="V160" s="1"/>
      <c r="W160" s="161"/>
      <c r="X160" s="161"/>
      <c r="Y160" s="161"/>
      <c r="Z160" s="161"/>
      <c r="AA160" s="161"/>
      <c r="AB160" s="161"/>
      <c r="AC160" s="161"/>
      <c r="AD160" s="161"/>
      <c r="AE160" s="161"/>
      <c r="AF160" s="161"/>
      <c r="AG160" s="161"/>
      <c r="AH160" s="161"/>
      <c r="AI160" s="161"/>
      <c r="AJ160" s="161"/>
      <c r="AK160" s="161"/>
      <c r="AL160" s="161"/>
      <c r="AM160" s="161"/>
      <c r="AN160" s="161"/>
      <c r="AO160" s="161"/>
      <c r="AP160" s="161"/>
      <c r="AQ160" s="161"/>
      <c r="AR160" s="161"/>
      <c r="AS160" s="161"/>
      <c r="AT160" s="161"/>
      <c r="AU160" s="161"/>
      <c r="AV160" s="161"/>
    </row>
    <row r="161" spans="1:48" s="16" customFormat="1" ht="25.5" x14ac:dyDescent="0.35">
      <c r="B161" s="210" t="s">
        <v>250</v>
      </c>
      <c r="C161" s="211" t="s">
        <v>251</v>
      </c>
      <c r="D161" s="211"/>
      <c r="E161" s="90"/>
      <c r="F161" s="90"/>
      <c r="G161" s="161"/>
      <c r="H161" s="161"/>
      <c r="I161" s="161"/>
      <c r="J161" s="161"/>
      <c r="K161" s="161"/>
      <c r="L161" s="161"/>
      <c r="M161" s="161"/>
      <c r="N161" s="161"/>
      <c r="O161" s="161"/>
      <c r="P161" s="161"/>
      <c r="Q161" s="161"/>
      <c r="R161" s="161"/>
      <c r="S161" s="1"/>
      <c r="T161" s="1"/>
      <c r="U161" s="90"/>
      <c r="V161" s="1"/>
      <c r="W161" s="161"/>
      <c r="X161" s="161"/>
      <c r="Y161" s="161"/>
      <c r="Z161" s="161"/>
      <c r="AA161" s="161"/>
      <c r="AB161" s="161"/>
      <c r="AC161" s="161"/>
      <c r="AD161" s="161"/>
      <c r="AE161" s="161"/>
      <c r="AF161" s="161"/>
      <c r="AG161" s="161"/>
      <c r="AH161" s="161"/>
      <c r="AI161" s="161"/>
      <c r="AJ161" s="161"/>
      <c r="AK161" s="161"/>
      <c r="AL161" s="161"/>
      <c r="AM161" s="161"/>
      <c r="AN161" s="161"/>
      <c r="AO161" s="161"/>
      <c r="AP161" s="161"/>
      <c r="AQ161" s="161"/>
      <c r="AR161" s="161"/>
      <c r="AS161" s="161"/>
      <c r="AT161" s="161"/>
      <c r="AU161" s="161"/>
      <c r="AV161" s="161"/>
    </row>
    <row r="162" spans="1:48" s="16" customFormat="1" ht="83.25" customHeight="1" x14ac:dyDescent="0.3">
      <c r="B162" s="2"/>
      <c r="C162" s="161"/>
      <c r="D162" s="176"/>
      <c r="E162" s="161"/>
      <c r="F162" s="161"/>
      <c r="G162" s="161"/>
      <c r="H162" s="161"/>
      <c r="I162" s="161"/>
      <c r="J162" s="161"/>
      <c r="K162" s="161"/>
      <c r="L162" s="161"/>
      <c r="M162" s="161"/>
      <c r="N162" s="161"/>
      <c r="O162" s="161"/>
      <c r="P162" s="161"/>
      <c r="Q162" s="161"/>
      <c r="R162" s="161"/>
      <c r="S162" s="1"/>
      <c r="T162" s="1"/>
      <c r="U162" s="161"/>
      <c r="V162" s="1"/>
      <c r="W162" s="161"/>
      <c r="X162" s="161"/>
      <c r="Y162" s="161"/>
      <c r="Z162" s="161"/>
      <c r="AA162" s="161"/>
      <c r="AB162" s="161"/>
      <c r="AC162" s="161"/>
      <c r="AD162" s="161"/>
      <c r="AE162" s="161"/>
      <c r="AF162" s="161"/>
      <c r="AG162" s="161"/>
      <c r="AH162" s="161"/>
      <c r="AI162" s="161"/>
      <c r="AJ162" s="161"/>
      <c r="AK162" s="161"/>
      <c r="AL162" s="161"/>
      <c r="AM162" s="161"/>
      <c r="AN162" s="161"/>
      <c r="AO162" s="161"/>
      <c r="AP162" s="161"/>
      <c r="AQ162" s="161"/>
      <c r="AR162" s="161"/>
      <c r="AS162" s="161"/>
      <c r="AT162" s="161"/>
      <c r="AU162" s="161"/>
      <c r="AV162" s="161"/>
    </row>
    <row r="163" spans="1:48" s="16" customFormat="1" ht="20.25" x14ac:dyDescent="0.3">
      <c r="A163" s="212" t="s">
        <v>252</v>
      </c>
      <c r="B163" s="2"/>
      <c r="C163" s="161"/>
      <c r="D163" s="161"/>
      <c r="E163" s="161"/>
      <c r="F163" s="161"/>
      <c r="G163" s="161"/>
      <c r="H163" s="161"/>
      <c r="I163" s="161"/>
      <c r="J163" s="161"/>
      <c r="K163" s="161"/>
      <c r="L163" s="161"/>
      <c r="M163" s="161"/>
      <c r="N163" s="161"/>
      <c r="O163" s="161"/>
      <c r="P163" s="161"/>
      <c r="Q163" s="161"/>
      <c r="R163" s="161"/>
      <c r="S163" s="1"/>
      <c r="T163" s="1"/>
      <c r="U163" s="161"/>
      <c r="V163" s="1"/>
      <c r="W163" s="161"/>
      <c r="X163" s="161"/>
      <c r="Y163" s="161"/>
      <c r="Z163" s="161"/>
      <c r="AA163" s="161"/>
      <c r="AB163" s="161"/>
      <c r="AC163" s="161"/>
      <c r="AD163" s="161"/>
      <c r="AE163" s="161"/>
      <c r="AF163" s="161"/>
      <c r="AG163" s="161"/>
      <c r="AH163" s="161"/>
      <c r="AI163" s="161"/>
      <c r="AJ163" s="161"/>
      <c r="AK163" s="161"/>
      <c r="AL163" s="161"/>
      <c r="AM163" s="161"/>
      <c r="AN163" s="161"/>
      <c r="AO163" s="161"/>
      <c r="AP163" s="161"/>
      <c r="AQ163" s="161"/>
      <c r="AR163" s="161"/>
      <c r="AS163" s="161"/>
      <c r="AT163" s="161"/>
      <c r="AU163" s="161"/>
      <c r="AV163" s="161"/>
    </row>
    <row r="164" spans="1:48" s="16" customFormat="1" ht="22.5" x14ac:dyDescent="0.3">
      <c r="B164" s="2"/>
      <c r="C164" s="161"/>
      <c r="D164" s="98"/>
      <c r="E164" s="161"/>
      <c r="F164" s="161"/>
      <c r="G164" s="161"/>
      <c r="H164" s="161"/>
      <c r="I164" s="161"/>
      <c r="J164" s="161"/>
      <c r="K164" s="161"/>
      <c r="L164" s="161"/>
      <c r="M164" s="161"/>
      <c r="N164" s="161"/>
      <c r="O164" s="161"/>
      <c r="P164" s="161"/>
      <c r="Q164" s="161"/>
      <c r="R164" s="161"/>
      <c r="S164" s="1"/>
      <c r="T164" s="1"/>
      <c r="U164" s="161"/>
      <c r="V164" s="1"/>
      <c r="W164" s="161"/>
      <c r="X164" s="161"/>
      <c r="Y164" s="161"/>
      <c r="Z164" s="161"/>
      <c r="AA164" s="161"/>
      <c r="AB164" s="161"/>
      <c r="AC164" s="161"/>
      <c r="AD164" s="161"/>
      <c r="AE164" s="161"/>
      <c r="AF164" s="161"/>
      <c r="AG164" s="161"/>
      <c r="AH164" s="161"/>
      <c r="AI164" s="161"/>
      <c r="AJ164" s="161"/>
      <c r="AK164" s="161"/>
      <c r="AL164" s="161"/>
      <c r="AM164" s="161"/>
      <c r="AN164" s="161"/>
      <c r="AO164" s="161"/>
      <c r="AP164" s="161"/>
      <c r="AQ164" s="161"/>
      <c r="AR164" s="161"/>
      <c r="AS164" s="161"/>
      <c r="AT164" s="161"/>
      <c r="AU164" s="161"/>
      <c r="AV164" s="161"/>
    </row>
    <row r="165" spans="1:48" s="16" customFormat="1" ht="18.75" x14ac:dyDescent="0.3">
      <c r="B165" s="2"/>
      <c r="C165" s="161"/>
      <c r="D165" s="161"/>
      <c r="E165" s="161"/>
      <c r="F165" s="90"/>
      <c r="G165" s="161"/>
      <c r="H165" s="161"/>
      <c r="I165" s="161"/>
      <c r="J165" s="161"/>
      <c r="K165" s="161"/>
      <c r="L165" s="161"/>
      <c r="M165" s="161"/>
      <c r="N165" s="161"/>
      <c r="O165" s="161"/>
      <c r="P165" s="161"/>
      <c r="Q165" s="161"/>
      <c r="R165" s="161"/>
      <c r="S165" s="1"/>
      <c r="T165" s="1"/>
      <c r="U165" s="90"/>
      <c r="V165" s="1"/>
      <c r="W165" s="161"/>
      <c r="X165" s="161"/>
      <c r="Y165" s="161"/>
      <c r="Z165" s="161"/>
      <c r="AA165" s="161"/>
      <c r="AB165" s="161"/>
      <c r="AC165" s="161"/>
      <c r="AD165" s="161"/>
      <c r="AE165" s="161"/>
      <c r="AF165" s="161"/>
      <c r="AG165" s="161"/>
      <c r="AH165" s="161"/>
      <c r="AI165" s="161"/>
      <c r="AJ165" s="161"/>
      <c r="AK165" s="161"/>
      <c r="AL165" s="161"/>
      <c r="AM165" s="161"/>
      <c r="AN165" s="161"/>
      <c r="AO165" s="161"/>
      <c r="AP165" s="161"/>
      <c r="AQ165" s="161"/>
      <c r="AR165" s="161"/>
      <c r="AS165" s="161"/>
      <c r="AT165" s="161"/>
      <c r="AU165" s="161"/>
      <c r="AV165" s="161"/>
    </row>
    <row r="166" spans="1:48" s="16" customFormat="1" ht="18.75" x14ac:dyDescent="0.3">
      <c r="B166" s="2"/>
      <c r="C166" s="161"/>
      <c r="D166" s="161"/>
      <c r="E166" s="161"/>
      <c r="F166" s="161"/>
      <c r="G166" s="161"/>
      <c r="H166" s="161"/>
      <c r="I166" s="161"/>
      <c r="J166" s="161"/>
      <c r="K166" s="161"/>
      <c r="L166" s="161"/>
      <c r="M166" s="161"/>
      <c r="N166" s="161"/>
      <c r="O166" s="161"/>
      <c r="P166" s="161"/>
      <c r="Q166" s="161"/>
      <c r="R166" s="161"/>
      <c r="S166" s="1"/>
      <c r="T166" s="1"/>
      <c r="U166" s="161"/>
      <c r="V166" s="1"/>
      <c r="W166" s="161"/>
      <c r="X166" s="161"/>
      <c r="Y166" s="161"/>
      <c r="Z166" s="161"/>
      <c r="AA166" s="161"/>
      <c r="AB166" s="161"/>
      <c r="AC166" s="161"/>
      <c r="AD166" s="161"/>
      <c r="AE166" s="161"/>
      <c r="AF166" s="161"/>
      <c r="AG166" s="161"/>
      <c r="AH166" s="161"/>
      <c r="AI166" s="161"/>
      <c r="AJ166" s="161"/>
      <c r="AK166" s="161"/>
      <c r="AL166" s="161"/>
      <c r="AM166" s="161"/>
      <c r="AN166" s="161"/>
      <c r="AO166" s="161"/>
      <c r="AP166" s="161"/>
      <c r="AQ166" s="161"/>
      <c r="AR166" s="161"/>
      <c r="AS166" s="161"/>
      <c r="AT166" s="161"/>
      <c r="AU166" s="161"/>
      <c r="AV166" s="161"/>
    </row>
    <row r="167" spans="1:48" s="16" customFormat="1" ht="18.75" x14ac:dyDescent="0.3">
      <c r="B167" s="2"/>
      <c r="C167" s="161"/>
      <c r="D167" s="161"/>
      <c r="E167" s="161"/>
      <c r="F167" s="161"/>
      <c r="G167" s="161"/>
      <c r="H167" s="161"/>
      <c r="I167" s="161"/>
      <c r="J167" s="161"/>
      <c r="K167" s="161"/>
      <c r="L167" s="161"/>
      <c r="M167" s="161"/>
      <c r="N167" s="161"/>
      <c r="O167" s="161"/>
      <c r="P167" s="161"/>
      <c r="Q167" s="161"/>
      <c r="R167" s="161"/>
      <c r="S167" s="1"/>
      <c r="T167" s="1"/>
      <c r="U167" s="161"/>
      <c r="V167" s="1"/>
      <c r="W167" s="161"/>
      <c r="X167" s="161"/>
      <c r="Y167" s="161"/>
      <c r="Z167" s="161"/>
      <c r="AA167" s="161"/>
      <c r="AB167" s="161"/>
      <c r="AC167" s="161"/>
      <c r="AD167" s="161"/>
      <c r="AE167" s="161"/>
      <c r="AF167" s="161"/>
      <c r="AG167" s="161"/>
      <c r="AH167" s="161"/>
      <c r="AI167" s="161"/>
      <c r="AJ167" s="161"/>
      <c r="AK167" s="161"/>
      <c r="AL167" s="161"/>
      <c r="AM167" s="161"/>
      <c r="AN167" s="161"/>
      <c r="AO167" s="161"/>
      <c r="AP167" s="161"/>
      <c r="AQ167" s="161"/>
      <c r="AR167" s="161"/>
      <c r="AS167" s="161"/>
      <c r="AT167" s="161"/>
      <c r="AU167" s="161"/>
      <c r="AV167" s="161"/>
    </row>
    <row r="168" spans="1:48" s="16" customFormat="1" ht="18.75" x14ac:dyDescent="0.3">
      <c r="B168" s="20"/>
      <c r="F168" s="161"/>
      <c r="G168" s="161"/>
      <c r="H168" s="161"/>
      <c r="I168" s="161"/>
      <c r="J168" s="161"/>
      <c r="K168" s="161"/>
      <c r="L168" s="161"/>
      <c r="M168" s="161"/>
      <c r="N168" s="161"/>
      <c r="O168" s="161"/>
      <c r="P168" s="161"/>
      <c r="Q168" s="161"/>
      <c r="R168" s="161"/>
      <c r="S168" s="1"/>
      <c r="T168" s="1"/>
      <c r="U168" s="161"/>
      <c r="V168" s="1"/>
      <c r="W168" s="161"/>
      <c r="X168" s="161"/>
      <c r="Y168" s="161"/>
      <c r="Z168" s="161"/>
      <c r="AA168" s="161"/>
      <c r="AB168" s="161"/>
      <c r="AC168" s="161"/>
      <c r="AD168" s="161"/>
      <c r="AE168" s="161"/>
      <c r="AF168" s="161"/>
      <c r="AG168" s="161"/>
      <c r="AH168" s="161"/>
      <c r="AI168" s="161"/>
      <c r="AJ168" s="161"/>
      <c r="AK168" s="161"/>
      <c r="AL168" s="161"/>
      <c r="AM168" s="161"/>
      <c r="AN168" s="161"/>
      <c r="AO168" s="161"/>
      <c r="AP168" s="161"/>
      <c r="AQ168" s="161"/>
      <c r="AR168" s="161"/>
      <c r="AS168" s="161"/>
      <c r="AT168" s="161"/>
      <c r="AU168" s="161"/>
      <c r="AV168" s="161"/>
    </row>
    <row r="169" spans="1:48" s="16" customFormat="1" ht="18.75" x14ac:dyDescent="0.3">
      <c r="B169" s="20"/>
      <c r="F169" s="161"/>
      <c r="G169" s="161"/>
      <c r="H169" s="161"/>
      <c r="I169" s="161"/>
      <c r="J169" s="161"/>
      <c r="K169" s="161"/>
      <c r="L169" s="161"/>
      <c r="M169" s="161"/>
      <c r="N169" s="161"/>
      <c r="O169" s="161"/>
      <c r="P169" s="161"/>
      <c r="Q169" s="161"/>
      <c r="R169" s="161"/>
      <c r="S169" s="1"/>
      <c r="T169" s="1"/>
      <c r="U169" s="161"/>
      <c r="V169" s="1"/>
      <c r="W169" s="161"/>
      <c r="X169" s="161"/>
      <c r="Y169" s="161"/>
      <c r="Z169" s="161"/>
      <c r="AA169" s="161"/>
      <c r="AB169" s="161"/>
      <c r="AC169" s="161"/>
      <c r="AD169" s="161"/>
      <c r="AE169" s="161"/>
      <c r="AF169" s="161"/>
      <c r="AG169" s="161"/>
      <c r="AH169" s="161"/>
      <c r="AI169" s="161"/>
      <c r="AJ169" s="161"/>
      <c r="AK169" s="161"/>
      <c r="AL169" s="161"/>
      <c r="AM169" s="161"/>
      <c r="AN169" s="161"/>
      <c r="AO169" s="161"/>
      <c r="AP169" s="161"/>
      <c r="AQ169" s="161"/>
      <c r="AR169" s="161"/>
      <c r="AS169" s="161"/>
      <c r="AT169" s="161"/>
      <c r="AU169" s="161"/>
      <c r="AV169" s="161"/>
    </row>
  </sheetData>
  <mergeCells count="31">
    <mergeCell ref="C161:D161"/>
    <mergeCell ref="A1:W1"/>
    <mergeCell ref="A6:W6"/>
    <mergeCell ref="Q3:Q4"/>
    <mergeCell ref="G3:G4"/>
    <mergeCell ref="R3:R4"/>
    <mergeCell ref="B3:B4"/>
    <mergeCell ref="C3:C4"/>
    <mergeCell ref="D3:D4"/>
    <mergeCell ref="E3:E4"/>
    <mergeCell ref="F3:F4"/>
    <mergeCell ref="H3:H4"/>
    <mergeCell ref="I3:I4"/>
    <mergeCell ref="J3:J4"/>
    <mergeCell ref="K3:K4"/>
    <mergeCell ref="L3:L4"/>
    <mergeCell ref="M3:M4"/>
    <mergeCell ref="A90:W90"/>
    <mergeCell ref="A124:W124"/>
    <mergeCell ref="W3:W4"/>
    <mergeCell ref="S3:S4"/>
    <mergeCell ref="T3:T4"/>
    <mergeCell ref="U3:U4"/>
    <mergeCell ref="V3:V4"/>
    <mergeCell ref="A3:A4"/>
    <mergeCell ref="P3:P4"/>
    <mergeCell ref="C19:C21"/>
    <mergeCell ref="A62:A64"/>
    <mergeCell ref="C62:C64"/>
    <mergeCell ref="N3:N4"/>
    <mergeCell ref="O3:O4"/>
  </mergeCells>
  <printOptions horizontalCentered="1"/>
  <pageMargins left="0.39370078740157483" right="0" top="0" bottom="0" header="0.23622047244094491" footer="0.11811023622047245"/>
  <pageSetup paperSize="8" scale="66" fitToHeight="10" orientation="landscape" horizontalDpi="300" verticalDpi="300" r:id="rId1"/>
  <headerFooter alignWithMargins="0"/>
  <rowBreaks count="1" manualBreakCount="1">
    <brk id="89" max="22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BA029950C053C244A6A9F13E4B878893" ma:contentTypeVersion="0" ma:contentTypeDescription="Створення нового документа." ma:contentTypeScope="" ma:versionID="8013ad39d31bd0b6f241a0d4cccdf3c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d6c1214ede72f45502cafdd67aec15bc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вмісту" ma:readOnly="true"/>
        <xsd:element ref="dc:title" minOccurs="0" maxOccurs="1" ma:index="4" ma:displayName="Заголовок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EDC5F1B-D535-4A3F-8E8B-D26E9B299826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7165E8A-1497-4595-9DEC-0A096D65444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F3D7FED-1DE7-42FA-B81E-F9B480DFCBE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4</vt:i4>
      </vt:variant>
    </vt:vector>
  </HeadingPairs>
  <TitlesOfParts>
    <vt:vector size="5" baseType="lpstr">
      <vt:lpstr>2021</vt:lpstr>
      <vt:lpstr>'2021'!Print_Area</vt:lpstr>
      <vt:lpstr>'2021'!Print_Titles</vt:lpstr>
      <vt:lpstr>'2021'!Заголовки_для_печати</vt:lpstr>
      <vt:lpstr>'2021'!Область_печати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Шевчук Наталія Борисівна</cp:lastModifiedBy>
  <cp:lastPrinted>2022-01-05T15:37:32Z</cp:lastPrinted>
  <dcterms:created xsi:type="dcterms:W3CDTF">1996-10-08T23:32:33Z</dcterms:created>
  <dcterms:modified xsi:type="dcterms:W3CDTF">2022-01-12T13:21:50Z</dcterms:modified>
</cp:coreProperties>
</file>